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rcabanillas\Downloads\"/>
    </mc:Choice>
  </mc:AlternateContent>
  <xr:revisionPtr revIDLastSave="0" documentId="13_ncr:1_{FE72EF0B-0189-4AE3-A33B-C3912CA67596}" xr6:coauthVersionLast="47" xr6:coauthVersionMax="47" xr10:uidLastSave="{00000000-0000-0000-0000-000000000000}"/>
  <bookViews>
    <workbookView xWindow="-110" yWindow="-110" windowWidth="19420" windowHeight="10420" tabRatio="740" xr2:uid="{00000000-000D-0000-FFFF-FFFF00000000}"/>
  </bookViews>
  <sheets>
    <sheet name="1. Factor X" sheetId="25" r:id="rId1"/>
    <sheet name="Factor Q" sheetId="27" r:id="rId2"/>
    <sheet name="2.PTFEmpresa" sheetId="24" r:id="rId3"/>
    <sheet name="2.1.ÍndCantProd" sheetId="22" r:id="rId4"/>
    <sheet name="2.1.1. Ingresos Serv." sheetId="1" r:id="rId5"/>
    <sheet name="2.1.2. Cantidades Serv." sheetId="2" r:id="rId6"/>
    <sheet name="2.1.3.Precios Serv." sheetId="16" r:id="rId7"/>
    <sheet name="2.2.ÍndCantInsum" sheetId="23" r:id="rId8"/>
    <sheet name="2.2.1. Mano de Obra" sheetId="3" r:id="rId9"/>
    <sheet name="2.2.2. Prod. Intermedios" sheetId="4" r:id="rId10"/>
    <sheet name="2.2.3.1.Tasas Deprec" sheetId="6" r:id="rId11"/>
    <sheet name="2.2.3.2.Inv-Depr-Ajus" sheetId="7" r:id="rId12"/>
    <sheet name="2.2.3.3.Stock-Cap-Sin-Act.Ini" sheetId="17" r:id="rId13"/>
    <sheet name="2.2.3.4. Activos Iniciales" sheetId="5" r:id="rId14"/>
    <sheet name="2.2.3.5.StockCapTotal" sheetId="18" r:id="rId15"/>
    <sheet name="2.2.3.6.StockCapTotalDef" sheetId="19" r:id="rId16"/>
    <sheet name="2.2.3.7.CantidadCap" sheetId="20" r:id="rId17"/>
    <sheet name="2.2.3.8.WACC" sheetId="8" r:id="rId18"/>
    <sheet name="2.2.3.9.PrecioCapital" sheetId="21" r:id="rId19"/>
    <sheet name="3.ÍndPrecioInsumEmp" sheetId="26" r:id="rId20"/>
    <sheet name="4.PTF Economía" sheetId="9" r:id="rId21"/>
    <sheet name="5.Insumos Economía" sheetId="10" r:id="rId22"/>
    <sheet name="6.1.IPM" sheetId="11" r:id="rId23"/>
    <sheet name="6.2.IPC" sheetId="12" r:id="rId24"/>
    <sheet name="6.3.IPME" sheetId="13" r:id="rId25"/>
    <sheet name="6.4 Tasa Impuestos" sheetId="15" r:id="rId2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0" i="8" l="1"/>
  <c r="D12" i="17"/>
  <c r="C30" i="4" l="1"/>
  <c r="C21" i="13" l="1"/>
  <c r="D20" i="10"/>
  <c r="E20" i="10"/>
  <c r="F20" i="10"/>
  <c r="G20" i="10"/>
  <c r="H20" i="10"/>
  <c r="I20" i="10"/>
  <c r="J20" i="10"/>
  <c r="K20" i="10"/>
  <c r="C20" i="10"/>
  <c r="C19" i="10"/>
  <c r="D19" i="10"/>
  <c r="D25" i="10" s="1"/>
  <c r="E19" i="10"/>
  <c r="E25" i="10" s="1"/>
  <c r="F19" i="10"/>
  <c r="F25" i="10" s="1"/>
  <c r="G19" i="10"/>
  <c r="H19" i="10"/>
  <c r="H25" i="10" s="1"/>
  <c r="I19" i="10"/>
  <c r="I25" i="10" s="1"/>
  <c r="J19" i="10"/>
  <c r="J25" i="10" s="1"/>
  <c r="K19" i="10"/>
  <c r="D23" i="10"/>
  <c r="E23" i="10"/>
  <c r="F23" i="10"/>
  <c r="G23" i="10"/>
  <c r="H23" i="10"/>
  <c r="I23" i="10"/>
  <c r="J23" i="10"/>
  <c r="K23" i="10"/>
  <c r="C23" i="10"/>
  <c r="L17" i="13"/>
  <c r="K17" i="13"/>
  <c r="J17" i="13"/>
  <c r="I17" i="13"/>
  <c r="H17" i="13"/>
  <c r="G17" i="13"/>
  <c r="F17" i="13"/>
  <c r="E17" i="13"/>
  <c r="D17" i="13"/>
  <c r="C17" i="13"/>
  <c r="L8" i="13"/>
  <c r="K8" i="13"/>
  <c r="J8" i="13"/>
  <c r="I8" i="13"/>
  <c r="H8" i="13"/>
  <c r="G8" i="13"/>
  <c r="F8" i="13"/>
  <c r="E8" i="13"/>
  <c r="D8" i="13"/>
  <c r="C8" i="13"/>
  <c r="L12" i="12"/>
  <c r="K12" i="12"/>
  <c r="J12" i="12"/>
  <c r="I12" i="12"/>
  <c r="H12" i="12"/>
  <c r="G12" i="12"/>
  <c r="F12" i="12"/>
  <c r="E12" i="12"/>
  <c r="D12" i="12"/>
  <c r="C12" i="12"/>
  <c r="L8" i="12"/>
  <c r="K8" i="12"/>
  <c r="J8" i="12"/>
  <c r="I8" i="12"/>
  <c r="H8" i="12"/>
  <c r="G8" i="12"/>
  <c r="F8" i="12"/>
  <c r="E8" i="12"/>
  <c r="D8" i="12"/>
  <c r="C8" i="12"/>
  <c r="L12" i="11"/>
  <c r="K12" i="11"/>
  <c r="J12" i="11"/>
  <c r="I12" i="11"/>
  <c r="H12" i="11"/>
  <c r="G12" i="11"/>
  <c r="F12" i="11"/>
  <c r="E12" i="11"/>
  <c r="D12" i="11"/>
  <c r="C12" i="11"/>
  <c r="L8" i="11"/>
  <c r="K8" i="11"/>
  <c r="J8" i="11"/>
  <c r="I8" i="11"/>
  <c r="H8" i="11"/>
  <c r="G8" i="11"/>
  <c r="F8" i="11"/>
  <c r="E8" i="11"/>
  <c r="D8" i="11"/>
  <c r="C8" i="11"/>
  <c r="AX45" i="27"/>
  <c r="AX44" i="27"/>
  <c r="AX43" i="27"/>
  <c r="AX42" i="27"/>
  <c r="AX41" i="27"/>
  <c r="AX40" i="27"/>
  <c r="AZ44" i="27"/>
  <c r="AZ41" i="27"/>
  <c r="AZ42" i="27"/>
  <c r="AZ43" i="27"/>
  <c r="AZ45" i="27"/>
  <c r="AW34" i="27"/>
  <c r="AW35" i="27"/>
  <c r="AW36" i="27"/>
  <c r="AW37" i="27"/>
  <c r="AW33" i="27"/>
  <c r="G33" i="27"/>
  <c r="H33" i="27"/>
  <c r="I33" i="27"/>
  <c r="J33" i="27"/>
  <c r="K33" i="27"/>
  <c r="L33" i="27"/>
  <c r="M33" i="27"/>
  <c r="N33" i="27"/>
  <c r="O33" i="27"/>
  <c r="P33" i="27"/>
  <c r="Q33" i="27"/>
  <c r="R33" i="27"/>
  <c r="S33" i="27"/>
  <c r="T33" i="27"/>
  <c r="U33" i="27"/>
  <c r="V33" i="27"/>
  <c r="W33" i="27"/>
  <c r="X33" i="27"/>
  <c r="Y33" i="27"/>
  <c r="Z33" i="27"/>
  <c r="AA33" i="27"/>
  <c r="AB33" i="27"/>
  <c r="AC33" i="27"/>
  <c r="AD33" i="27"/>
  <c r="AE33" i="27"/>
  <c r="AF33" i="27"/>
  <c r="AG33" i="27"/>
  <c r="AH33" i="27"/>
  <c r="AI33" i="27"/>
  <c r="AJ33" i="27"/>
  <c r="AK33" i="27"/>
  <c r="AL33" i="27"/>
  <c r="AM33" i="27"/>
  <c r="AN33" i="27"/>
  <c r="AO33" i="27"/>
  <c r="AP33" i="27"/>
  <c r="AQ33" i="27"/>
  <c r="AR33" i="27"/>
  <c r="AS33" i="27"/>
  <c r="AT33" i="27"/>
  <c r="AU33" i="27"/>
  <c r="G34" i="27"/>
  <c r="H34" i="27"/>
  <c r="I34" i="27"/>
  <c r="J34" i="27"/>
  <c r="K34" i="27"/>
  <c r="L34" i="27"/>
  <c r="M34" i="27"/>
  <c r="N34" i="27"/>
  <c r="O34" i="27"/>
  <c r="P34" i="27"/>
  <c r="Q34" i="27"/>
  <c r="R34" i="27"/>
  <c r="S34" i="27"/>
  <c r="T34" i="27"/>
  <c r="U34" i="27"/>
  <c r="V34" i="27"/>
  <c r="W34" i="27"/>
  <c r="X34" i="27"/>
  <c r="Y34" i="27"/>
  <c r="Z34" i="27"/>
  <c r="AA34" i="27"/>
  <c r="AB34" i="27"/>
  <c r="AC34" i="27"/>
  <c r="AD34" i="27"/>
  <c r="AE34" i="27"/>
  <c r="AF34" i="27"/>
  <c r="AG34" i="27"/>
  <c r="AH34" i="27"/>
  <c r="AI34" i="27"/>
  <c r="AJ34" i="27"/>
  <c r="AK34" i="27"/>
  <c r="AL34" i="27"/>
  <c r="AM34" i="27"/>
  <c r="AN34" i="27"/>
  <c r="AO34" i="27"/>
  <c r="AP34" i="27"/>
  <c r="AQ34" i="27"/>
  <c r="AR34" i="27"/>
  <c r="AS34" i="27"/>
  <c r="AT34" i="27"/>
  <c r="AU34" i="27"/>
  <c r="G35" i="27"/>
  <c r="H35" i="27"/>
  <c r="I35" i="27"/>
  <c r="J35" i="27"/>
  <c r="K35" i="27"/>
  <c r="L35" i="27"/>
  <c r="M35" i="27"/>
  <c r="N35" i="27"/>
  <c r="O35" i="27"/>
  <c r="P35" i="27"/>
  <c r="Q35" i="27"/>
  <c r="R35" i="27"/>
  <c r="S35" i="27"/>
  <c r="T35" i="27"/>
  <c r="U35" i="27"/>
  <c r="V35" i="27"/>
  <c r="W35" i="27"/>
  <c r="X35" i="27"/>
  <c r="Y35" i="27"/>
  <c r="Z35" i="27"/>
  <c r="AA35" i="27"/>
  <c r="AB35" i="27"/>
  <c r="AC35" i="27"/>
  <c r="AD35" i="27"/>
  <c r="AE35" i="27"/>
  <c r="AF35" i="27"/>
  <c r="AG35" i="27"/>
  <c r="AH35" i="27"/>
  <c r="AI35" i="27"/>
  <c r="AJ35" i="27"/>
  <c r="AK35" i="27"/>
  <c r="AL35" i="27"/>
  <c r="AM35" i="27"/>
  <c r="AN35" i="27"/>
  <c r="AO35" i="27"/>
  <c r="AP35" i="27"/>
  <c r="AQ35" i="27"/>
  <c r="AR35" i="27"/>
  <c r="AS35" i="27"/>
  <c r="AT35" i="27"/>
  <c r="AU35" i="27"/>
  <c r="G36" i="27"/>
  <c r="H36" i="27"/>
  <c r="I36" i="27"/>
  <c r="J36" i="27"/>
  <c r="K36" i="27"/>
  <c r="L36" i="27"/>
  <c r="M36" i="27"/>
  <c r="N36" i="27"/>
  <c r="O36" i="27"/>
  <c r="P36" i="27"/>
  <c r="Q36" i="27"/>
  <c r="R36" i="27"/>
  <c r="S36" i="27"/>
  <c r="T36" i="27"/>
  <c r="U36" i="27"/>
  <c r="V36" i="27"/>
  <c r="W36" i="27"/>
  <c r="X36" i="27"/>
  <c r="Y36" i="27"/>
  <c r="Z36" i="27"/>
  <c r="AA36" i="27"/>
  <c r="AB36" i="27"/>
  <c r="AC36" i="27"/>
  <c r="AD36" i="27"/>
  <c r="AE36" i="27"/>
  <c r="AF36" i="27"/>
  <c r="AG36" i="27"/>
  <c r="AH36" i="27"/>
  <c r="AI36" i="27"/>
  <c r="AJ36" i="27"/>
  <c r="AK36" i="27"/>
  <c r="AL36" i="27"/>
  <c r="AM36" i="27"/>
  <c r="AN36" i="27"/>
  <c r="AO36" i="27"/>
  <c r="AP36" i="27"/>
  <c r="AQ36" i="27"/>
  <c r="AR36" i="27"/>
  <c r="AS36" i="27"/>
  <c r="AT36" i="27"/>
  <c r="AU36" i="27"/>
  <c r="G37" i="27"/>
  <c r="H37" i="27"/>
  <c r="I37" i="27"/>
  <c r="J37" i="27"/>
  <c r="K37" i="27"/>
  <c r="L37" i="27"/>
  <c r="M37" i="27"/>
  <c r="N37" i="27"/>
  <c r="O37" i="27"/>
  <c r="P37" i="27"/>
  <c r="Q37" i="27"/>
  <c r="R37" i="27"/>
  <c r="S37" i="27"/>
  <c r="T37" i="27"/>
  <c r="U37" i="27"/>
  <c r="V37" i="27"/>
  <c r="W37" i="27"/>
  <c r="X37" i="27"/>
  <c r="Y37" i="27"/>
  <c r="Z37" i="27"/>
  <c r="AA37" i="27"/>
  <c r="AB37" i="27"/>
  <c r="AC37" i="27"/>
  <c r="AD37" i="27"/>
  <c r="AE37" i="27"/>
  <c r="AF37" i="27"/>
  <c r="AG37" i="27"/>
  <c r="AH37" i="27"/>
  <c r="AI37" i="27"/>
  <c r="AJ37" i="27"/>
  <c r="AK37" i="27"/>
  <c r="AL37" i="27"/>
  <c r="AM37" i="27"/>
  <c r="AN37" i="27"/>
  <c r="AO37" i="27"/>
  <c r="AP37" i="27"/>
  <c r="AQ37" i="27"/>
  <c r="AR37" i="27"/>
  <c r="AS37" i="27"/>
  <c r="AT37" i="27"/>
  <c r="AU37" i="27"/>
  <c r="F37" i="27"/>
  <c r="F36" i="27"/>
  <c r="F35" i="27"/>
  <c r="F34" i="27"/>
  <c r="F33" i="27"/>
  <c r="G89" i="27"/>
  <c r="H89" i="27" s="1"/>
  <c r="AY27" i="27"/>
  <c r="AY26" i="27"/>
  <c r="AY25" i="27"/>
  <c r="AY24" i="27"/>
  <c r="AZ40" i="27" s="1"/>
  <c r="AS6" i="27"/>
  <c r="AS24" i="27" s="1"/>
  <c r="AT6" i="27"/>
  <c r="AT24" i="27" s="1"/>
  <c r="AU6" i="27"/>
  <c r="AU24" i="27" s="1"/>
  <c r="AS7" i="27"/>
  <c r="AS25" i="27" s="1"/>
  <c r="AT7" i="27"/>
  <c r="AT25" i="27" s="1"/>
  <c r="AU7" i="27"/>
  <c r="AU25" i="27" s="1"/>
  <c r="AS8" i="27"/>
  <c r="AT8" i="27"/>
  <c r="AU8" i="27"/>
  <c r="AS9" i="27"/>
  <c r="AT9" i="27"/>
  <c r="AU9" i="27"/>
  <c r="AS10" i="27"/>
  <c r="AT10" i="27"/>
  <c r="AU10" i="27"/>
  <c r="AS11" i="27"/>
  <c r="AT11" i="27"/>
  <c r="AU11" i="27"/>
  <c r="AS12" i="27"/>
  <c r="AT12" i="27"/>
  <c r="AU12" i="27"/>
  <c r="AS13" i="27"/>
  <c r="AT13" i="27"/>
  <c r="AT26" i="27" s="1"/>
  <c r="AU13" i="27"/>
  <c r="AU26" i="27" s="1"/>
  <c r="AS14" i="27"/>
  <c r="AT14" i="27"/>
  <c r="AU14" i="27"/>
  <c r="AS15" i="27"/>
  <c r="AT15" i="27"/>
  <c r="AU15" i="27"/>
  <c r="AR9" i="27"/>
  <c r="AR10" i="27"/>
  <c r="AR11" i="27"/>
  <c r="AR12" i="27"/>
  <c r="AR13" i="27"/>
  <c r="AR14" i="27"/>
  <c r="AR15" i="27"/>
  <c r="AR8" i="27"/>
  <c r="AY41" i="27" l="1"/>
  <c r="C25" i="10"/>
  <c r="C26" i="10"/>
  <c r="K26" i="10"/>
  <c r="J26" i="10"/>
  <c r="I26" i="10"/>
  <c r="H26" i="10"/>
  <c r="G26" i="10"/>
  <c r="F26" i="10"/>
  <c r="K25" i="10"/>
  <c r="E26" i="10"/>
  <c r="D26" i="10"/>
  <c r="G25" i="10"/>
  <c r="AY40" i="27"/>
  <c r="AY44" i="27"/>
  <c r="AY45" i="27"/>
  <c r="AY43" i="27"/>
  <c r="AY42" i="27"/>
  <c r="AX27" i="27"/>
  <c r="AR27" i="27"/>
  <c r="AX25" i="27"/>
  <c r="AS27" i="27"/>
  <c r="AT27" i="27"/>
  <c r="AS26" i="27"/>
  <c r="AX24" i="27"/>
  <c r="AX26" i="27"/>
  <c r="AU27" i="27"/>
  <c r="AR26" i="27"/>
  <c r="AX46" i="27" l="1"/>
  <c r="D44" i="27" s="1"/>
  <c r="D17" i="25" s="1"/>
  <c r="AR6" i="27"/>
  <c r="AR24" i="27" s="1"/>
  <c r="AR7" i="27"/>
  <c r="AR25" i="27" s="1"/>
  <c r="AI6" i="27"/>
  <c r="AI24" i="27" s="1"/>
  <c r="AJ6" i="27"/>
  <c r="AJ24" i="27" s="1"/>
  <c r="AK6" i="27"/>
  <c r="AK24" i="27" s="1"/>
  <c r="AL6" i="27"/>
  <c r="AL24" i="27" s="1"/>
  <c r="AM6" i="27"/>
  <c r="AM24" i="27" s="1"/>
  <c r="AN6" i="27"/>
  <c r="AN24" i="27" s="1"/>
  <c r="AI7" i="27"/>
  <c r="AJ7" i="27"/>
  <c r="AK7" i="27"/>
  <c r="AL7" i="27"/>
  <c r="AM7" i="27"/>
  <c r="AN7" i="27"/>
  <c r="AI8" i="27"/>
  <c r="AJ8" i="27"/>
  <c r="AK8" i="27"/>
  <c r="AL8" i="27"/>
  <c r="AM8" i="27"/>
  <c r="AN8" i="27"/>
  <c r="AI9" i="27"/>
  <c r="AJ9" i="27"/>
  <c r="AK9" i="27"/>
  <c r="AL9" i="27"/>
  <c r="AM9" i="27"/>
  <c r="AN9" i="27"/>
  <c r="AI10" i="27"/>
  <c r="AJ10" i="27"/>
  <c r="AK10" i="27"/>
  <c r="AL10" i="27"/>
  <c r="AM10" i="27"/>
  <c r="AN10" i="27"/>
  <c r="AI11" i="27"/>
  <c r="AJ11" i="27"/>
  <c r="AK11" i="27"/>
  <c r="AL11" i="27"/>
  <c r="AM11" i="27"/>
  <c r="AN11" i="27"/>
  <c r="AI12" i="27"/>
  <c r="AJ12" i="27"/>
  <c r="AK12" i="27"/>
  <c r="AL12" i="27"/>
  <c r="AM12" i="27"/>
  <c r="AN12" i="27"/>
  <c r="AI13" i="27"/>
  <c r="AJ13" i="27"/>
  <c r="AK13" i="27"/>
  <c r="AL13" i="27"/>
  <c r="AM13" i="27"/>
  <c r="AN13" i="27"/>
  <c r="AI14" i="27"/>
  <c r="AJ14" i="27"/>
  <c r="AK14" i="27"/>
  <c r="AL14" i="27"/>
  <c r="AM14" i="27"/>
  <c r="AN14" i="27"/>
  <c r="AI15" i="27"/>
  <c r="AJ15" i="27"/>
  <c r="AK15" i="27"/>
  <c r="AL15" i="27"/>
  <c r="AM15" i="27"/>
  <c r="AN15" i="27"/>
  <c r="AI16" i="27"/>
  <c r="AJ16" i="27"/>
  <c r="AK16" i="27"/>
  <c r="AL16" i="27"/>
  <c r="AM16" i="27"/>
  <c r="AN16" i="27"/>
  <c r="AI17" i="27"/>
  <c r="AJ17" i="27"/>
  <c r="AK17" i="27"/>
  <c r="AL17" i="27"/>
  <c r="AM17" i="27"/>
  <c r="AN17" i="27"/>
  <c r="AI18" i="27"/>
  <c r="AJ18" i="27"/>
  <c r="AK18" i="27"/>
  <c r="AL18" i="27"/>
  <c r="AM18" i="27"/>
  <c r="AM27" i="27" s="1"/>
  <c r="AN18" i="27"/>
  <c r="AI19" i="27"/>
  <c r="AJ19" i="27"/>
  <c r="AK19" i="27"/>
  <c r="AK27" i="27" s="1"/>
  <c r="AL19" i="27"/>
  <c r="AM19" i="27"/>
  <c r="AN19" i="27"/>
  <c r="AH16" i="27"/>
  <c r="X6" i="27"/>
  <c r="X24" i="27" s="1"/>
  <c r="Y6" i="27"/>
  <c r="Y24" i="27" s="1"/>
  <c r="Z6" i="27"/>
  <c r="Z24" i="27" s="1"/>
  <c r="AA6" i="27"/>
  <c r="AA24" i="27" s="1"/>
  <c r="AB6" i="27"/>
  <c r="AB24" i="27" s="1"/>
  <c r="AC6" i="27"/>
  <c r="AC24" i="27" s="1"/>
  <c r="AD6" i="27"/>
  <c r="AD24" i="27" s="1"/>
  <c r="AE6" i="27"/>
  <c r="AE24" i="27" s="1"/>
  <c r="AF6" i="27"/>
  <c r="AF24" i="27" s="1"/>
  <c r="AG6" i="27"/>
  <c r="AG24" i="27" s="1"/>
  <c r="AH6" i="27"/>
  <c r="AH24" i="27" s="1"/>
  <c r="X7" i="27"/>
  <c r="Y7" i="27"/>
  <c r="Z7" i="27"/>
  <c r="AA7" i="27"/>
  <c r="AB7" i="27"/>
  <c r="AC7" i="27"/>
  <c r="AD7" i="27"/>
  <c r="AE7" i="27"/>
  <c r="AF7" i="27"/>
  <c r="AG7" i="27"/>
  <c r="AH7" i="27"/>
  <c r="X8" i="27"/>
  <c r="Y8" i="27"/>
  <c r="Z8" i="27"/>
  <c r="AA8" i="27"/>
  <c r="AB8" i="27"/>
  <c r="AC8" i="27"/>
  <c r="AD8" i="27"/>
  <c r="AE8" i="27"/>
  <c r="AF8" i="27"/>
  <c r="AG8" i="27"/>
  <c r="AH8" i="27"/>
  <c r="X9" i="27"/>
  <c r="Y9" i="27"/>
  <c r="Z9" i="27"/>
  <c r="AA9" i="27"/>
  <c r="AB9" i="27"/>
  <c r="AC9" i="27"/>
  <c r="AD9" i="27"/>
  <c r="AE9" i="27"/>
  <c r="AF9" i="27"/>
  <c r="AG9" i="27"/>
  <c r="AH9" i="27"/>
  <c r="X10" i="27"/>
  <c r="Y10" i="27"/>
  <c r="Z10" i="27"/>
  <c r="AA10" i="27"/>
  <c r="AB10" i="27"/>
  <c r="AC10" i="27"/>
  <c r="AD10" i="27"/>
  <c r="AE10" i="27"/>
  <c r="AF10" i="27"/>
  <c r="AG10" i="27"/>
  <c r="AH10" i="27"/>
  <c r="X11" i="27"/>
  <c r="Y11" i="27"/>
  <c r="Z11" i="27"/>
  <c r="AA11" i="27"/>
  <c r="AB11" i="27"/>
  <c r="AC11" i="27"/>
  <c r="AD11" i="27"/>
  <c r="AE11" i="27"/>
  <c r="AF11" i="27"/>
  <c r="AG11" i="27"/>
  <c r="AH11" i="27"/>
  <c r="X12" i="27"/>
  <c r="Y12" i="27"/>
  <c r="Z12" i="27"/>
  <c r="AA12" i="27"/>
  <c r="AB12" i="27"/>
  <c r="AC12" i="27"/>
  <c r="AD12" i="27"/>
  <c r="AE12" i="27"/>
  <c r="AF12" i="27"/>
  <c r="AG12" i="27"/>
  <c r="AH12" i="27"/>
  <c r="X13" i="27"/>
  <c r="Y13" i="27"/>
  <c r="Z13" i="27"/>
  <c r="AA13" i="27"/>
  <c r="AB13" i="27"/>
  <c r="AC13" i="27"/>
  <c r="AD13" i="27"/>
  <c r="AE13" i="27"/>
  <c r="AF13" i="27"/>
  <c r="AG13" i="27"/>
  <c r="AH13" i="27"/>
  <c r="X14" i="27"/>
  <c r="Y14" i="27"/>
  <c r="Z14" i="27"/>
  <c r="AA14" i="27"/>
  <c r="AB14" i="27"/>
  <c r="AC14" i="27"/>
  <c r="AD14" i="27"/>
  <c r="AE14" i="27"/>
  <c r="AF14" i="27"/>
  <c r="AG14" i="27"/>
  <c r="AH14" i="27"/>
  <c r="X15" i="27"/>
  <c r="Y15" i="27"/>
  <c r="Z15" i="27"/>
  <c r="AA15" i="27"/>
  <c r="AB15" i="27"/>
  <c r="AC15" i="27"/>
  <c r="AD15" i="27"/>
  <c r="AE15" i="27"/>
  <c r="AF15" i="27"/>
  <c r="AG15" i="27"/>
  <c r="AH15" i="27"/>
  <c r="X16" i="27"/>
  <c r="Y16" i="27"/>
  <c r="Z16" i="27"/>
  <c r="AA16" i="27"/>
  <c r="AB16" i="27"/>
  <c r="AC16" i="27"/>
  <c r="AD16" i="27"/>
  <c r="AE16" i="27"/>
  <c r="AF16" i="27"/>
  <c r="AG16" i="27"/>
  <c r="X17" i="27"/>
  <c r="Y17" i="27"/>
  <c r="Z17" i="27"/>
  <c r="AA17" i="27"/>
  <c r="AB17" i="27"/>
  <c r="AC17" i="27"/>
  <c r="AD17" i="27"/>
  <c r="AE17" i="27"/>
  <c r="AF17" i="27"/>
  <c r="AG17" i="27"/>
  <c r="AH17" i="27"/>
  <c r="X18" i="27"/>
  <c r="Y18" i="27"/>
  <c r="Z18" i="27"/>
  <c r="AA18" i="27"/>
  <c r="AB18" i="27"/>
  <c r="AC18" i="27"/>
  <c r="AD18" i="27"/>
  <c r="AE18" i="27"/>
  <c r="AF18" i="27"/>
  <c r="AG18" i="27"/>
  <c r="AH18" i="27"/>
  <c r="X19" i="27"/>
  <c r="Y19" i="27"/>
  <c r="Z19" i="27"/>
  <c r="AA19" i="27"/>
  <c r="AB19" i="27"/>
  <c r="AC19" i="27"/>
  <c r="AD19" i="27"/>
  <c r="AE19" i="27"/>
  <c r="AF19" i="27"/>
  <c r="AG19" i="27"/>
  <c r="AH19" i="27"/>
  <c r="X20" i="27"/>
  <c r="Y20" i="27"/>
  <c r="Z20" i="27"/>
  <c r="AA20" i="27"/>
  <c r="AB20" i="27"/>
  <c r="AC20" i="27"/>
  <c r="AD20" i="27"/>
  <c r="AE20" i="27"/>
  <c r="AF20" i="27"/>
  <c r="AG20" i="27"/>
  <c r="AH20" i="27"/>
  <c r="W7" i="27"/>
  <c r="W8" i="27"/>
  <c r="W9" i="27"/>
  <c r="W10" i="27"/>
  <c r="W11" i="27"/>
  <c r="W12" i="27"/>
  <c r="W13" i="27"/>
  <c r="W14" i="27"/>
  <c r="W15" i="27"/>
  <c r="W16" i="27"/>
  <c r="W17" i="27"/>
  <c r="W18" i="27"/>
  <c r="W19" i="27"/>
  <c r="W20" i="27"/>
  <c r="W6" i="27"/>
  <c r="W24" i="27" s="1"/>
  <c r="P6" i="27"/>
  <c r="P24" i="27" s="1"/>
  <c r="Q6" i="27"/>
  <c r="Q24" i="27" s="1"/>
  <c r="R6" i="27"/>
  <c r="R24" i="27" s="1"/>
  <c r="S6" i="27"/>
  <c r="S24" i="27" s="1"/>
  <c r="P7" i="27"/>
  <c r="Q7" i="27"/>
  <c r="R7" i="27"/>
  <c r="S7" i="27"/>
  <c r="P8" i="27"/>
  <c r="Q8" i="27"/>
  <c r="R8" i="27"/>
  <c r="S8" i="27"/>
  <c r="P9" i="27"/>
  <c r="Q9" i="27"/>
  <c r="R9" i="27"/>
  <c r="S9" i="27"/>
  <c r="P10" i="27"/>
  <c r="Q10" i="27"/>
  <c r="R10" i="27"/>
  <c r="S10" i="27"/>
  <c r="P11" i="27"/>
  <c r="Q11" i="27"/>
  <c r="R11" i="27"/>
  <c r="S11" i="27"/>
  <c r="P12" i="27"/>
  <c r="Q12" i="27"/>
  <c r="R12" i="27"/>
  <c r="S12" i="27"/>
  <c r="P13" i="27"/>
  <c r="Q13" i="27"/>
  <c r="R13" i="27"/>
  <c r="S13" i="27"/>
  <c r="P14" i="27"/>
  <c r="Q14" i="27"/>
  <c r="R14" i="27"/>
  <c r="S14" i="27"/>
  <c r="P15" i="27"/>
  <c r="Q15" i="27"/>
  <c r="R15" i="27"/>
  <c r="S15" i="27"/>
  <c r="P16" i="27"/>
  <c r="Q16" i="27"/>
  <c r="R16" i="27"/>
  <c r="S16" i="27"/>
  <c r="P17" i="27"/>
  <c r="Q17" i="27"/>
  <c r="R17" i="27"/>
  <c r="S17" i="27"/>
  <c r="P18" i="27"/>
  <c r="Q18" i="27"/>
  <c r="R18" i="27"/>
  <c r="S18" i="27"/>
  <c r="O7" i="27"/>
  <c r="O8" i="27"/>
  <c r="O9" i="27"/>
  <c r="O10" i="27"/>
  <c r="O11" i="27"/>
  <c r="O12" i="27"/>
  <c r="O13" i="27"/>
  <c r="O14" i="27"/>
  <c r="O15" i="27"/>
  <c r="O16" i="27"/>
  <c r="O17" i="27"/>
  <c r="O18" i="27"/>
  <c r="O6" i="27"/>
  <c r="O24" i="27" s="1"/>
  <c r="M18" i="27"/>
  <c r="L18" i="27"/>
  <c r="K18" i="27"/>
  <c r="J18" i="27"/>
  <c r="I18" i="27"/>
  <c r="H18" i="27"/>
  <c r="G18" i="27"/>
  <c r="F18" i="27"/>
  <c r="M17" i="27"/>
  <c r="L17" i="27"/>
  <c r="K17" i="27"/>
  <c r="J17" i="27"/>
  <c r="I17" i="27"/>
  <c r="H17" i="27"/>
  <c r="G17" i="27"/>
  <c r="F17" i="27"/>
  <c r="M16" i="27"/>
  <c r="M27" i="27" s="1"/>
  <c r="L16" i="27"/>
  <c r="L27" i="27" s="1"/>
  <c r="K16" i="27"/>
  <c r="J16" i="27"/>
  <c r="I16" i="27"/>
  <c r="H16" i="27"/>
  <c r="G16" i="27"/>
  <c r="F16" i="27"/>
  <c r="M15" i="27"/>
  <c r="L15" i="27"/>
  <c r="K15" i="27"/>
  <c r="J15" i="27"/>
  <c r="I15" i="27"/>
  <c r="H15" i="27"/>
  <c r="G15" i="27"/>
  <c r="F15" i="27"/>
  <c r="M14" i="27"/>
  <c r="L14" i="27"/>
  <c r="K14" i="27"/>
  <c r="J14" i="27"/>
  <c r="I14" i="27"/>
  <c r="H14" i="27"/>
  <c r="G14" i="27"/>
  <c r="F14" i="27"/>
  <c r="M13" i="27"/>
  <c r="L13" i="27"/>
  <c r="K13" i="27"/>
  <c r="J13" i="27"/>
  <c r="I13" i="27"/>
  <c r="H13" i="27"/>
  <c r="G13" i="27"/>
  <c r="F13" i="27"/>
  <c r="M12" i="27"/>
  <c r="L12" i="27"/>
  <c r="K12" i="27"/>
  <c r="J12" i="27"/>
  <c r="I12" i="27"/>
  <c r="H12" i="27"/>
  <c r="G12" i="27"/>
  <c r="F12" i="27"/>
  <c r="M11" i="27"/>
  <c r="L11" i="27"/>
  <c r="K11" i="27"/>
  <c r="J11" i="27"/>
  <c r="I11" i="27"/>
  <c r="H11" i="27"/>
  <c r="G11" i="27"/>
  <c r="F11" i="27"/>
  <c r="M10" i="27"/>
  <c r="L10" i="27"/>
  <c r="K10" i="27"/>
  <c r="J10" i="27"/>
  <c r="I10" i="27"/>
  <c r="H10" i="27"/>
  <c r="G10" i="27"/>
  <c r="F10" i="27"/>
  <c r="M9" i="27"/>
  <c r="L9" i="27"/>
  <c r="K9" i="27"/>
  <c r="J9" i="27"/>
  <c r="I9" i="27"/>
  <c r="H9" i="27"/>
  <c r="G9" i="27"/>
  <c r="F9" i="27"/>
  <c r="M8" i="27"/>
  <c r="L8" i="27"/>
  <c r="K8" i="27"/>
  <c r="J8" i="27"/>
  <c r="I8" i="27"/>
  <c r="H8" i="27"/>
  <c r="G8" i="27"/>
  <c r="F8" i="27"/>
  <c r="M7" i="27"/>
  <c r="M25" i="27" s="1"/>
  <c r="L7" i="27"/>
  <c r="L25" i="27" s="1"/>
  <c r="K7" i="27"/>
  <c r="J7" i="27"/>
  <c r="I7" i="27"/>
  <c r="H7" i="27"/>
  <c r="G7" i="27"/>
  <c r="G25" i="27" s="1"/>
  <c r="F7" i="27"/>
  <c r="M6" i="27"/>
  <c r="M24" i="27" s="1"/>
  <c r="L6" i="27"/>
  <c r="L24" i="27" s="1"/>
  <c r="K6" i="27"/>
  <c r="K24" i="27" s="1"/>
  <c r="J6" i="27"/>
  <c r="J24" i="27" s="1"/>
  <c r="I6" i="27"/>
  <c r="I24" i="27" s="1"/>
  <c r="H6" i="27"/>
  <c r="H24" i="27" s="1"/>
  <c r="G6" i="27"/>
  <c r="G24" i="27" s="1"/>
  <c r="F6" i="27"/>
  <c r="F24" i="27" s="1"/>
  <c r="C16" i="5"/>
  <c r="C17" i="5"/>
  <c r="C15" i="5"/>
  <c r="C25" i="5" s="1"/>
  <c r="F18" i="5"/>
  <c r="K306" i="8"/>
  <c r="C24" i="5" l="1"/>
  <c r="C18" i="5"/>
  <c r="AE27" i="27"/>
  <c r="AJ27" i="27"/>
  <c r="I26" i="27"/>
  <c r="W26" i="27"/>
  <c r="F25" i="27"/>
  <c r="H25" i="27"/>
  <c r="L26" i="27"/>
  <c r="H27" i="27"/>
  <c r="I25" i="27"/>
  <c r="M26" i="27"/>
  <c r="I27" i="27"/>
  <c r="F27" i="27"/>
  <c r="J27" i="27"/>
  <c r="K25" i="27"/>
  <c r="K27" i="27"/>
  <c r="AI26" i="27"/>
  <c r="K26" i="27"/>
  <c r="AF27" i="27"/>
  <c r="X27" i="27"/>
  <c r="AF25" i="27"/>
  <c r="X25" i="27"/>
  <c r="AI27" i="27"/>
  <c r="AK26" i="27"/>
  <c r="P26" i="27"/>
  <c r="AD26" i="27"/>
  <c r="AM25" i="27"/>
  <c r="AK25" i="27"/>
  <c r="AC26" i="27"/>
  <c r="AE25" i="27"/>
  <c r="AN26" i="27"/>
  <c r="AL25" i="27"/>
  <c r="AD27" i="27"/>
  <c r="AB26" i="27"/>
  <c r="AD25" i="27"/>
  <c r="AM26" i="27"/>
  <c r="AI25" i="27"/>
  <c r="AH27" i="27"/>
  <c r="Z27" i="27"/>
  <c r="AC27" i="27"/>
  <c r="AA26" i="27"/>
  <c r="AB25" i="27"/>
  <c r="AC25" i="27"/>
  <c r="AN27" i="27"/>
  <c r="AL26" i="27"/>
  <c r="AJ25" i="27"/>
  <c r="W27" i="27"/>
  <c r="AB27" i="27"/>
  <c r="AH26" i="27"/>
  <c r="Z26" i="27"/>
  <c r="AA27" i="27"/>
  <c r="AG26" i="27"/>
  <c r="Y26" i="27"/>
  <c r="AA25" i="27"/>
  <c r="AL27" i="27"/>
  <c r="AN25" i="27"/>
  <c r="AF26" i="27"/>
  <c r="X26" i="27"/>
  <c r="AH25" i="27"/>
  <c r="Z25" i="27"/>
  <c r="H26" i="27"/>
  <c r="W25" i="27"/>
  <c r="AG27" i="27"/>
  <c r="Y27" i="27"/>
  <c r="AE26" i="27"/>
  <c r="AG25" i="27"/>
  <c r="Y25" i="27"/>
  <c r="AJ26" i="27"/>
  <c r="AW24" i="27"/>
  <c r="P25" i="27"/>
  <c r="R27" i="27"/>
  <c r="G27" i="27"/>
  <c r="P27" i="27"/>
  <c r="O27" i="27"/>
  <c r="S26" i="27"/>
  <c r="S25" i="27"/>
  <c r="J26" i="27"/>
  <c r="R26" i="27"/>
  <c r="R25" i="27"/>
  <c r="G26" i="27"/>
  <c r="F26" i="27"/>
  <c r="O25" i="27"/>
  <c r="O26" i="27"/>
  <c r="S27" i="27"/>
  <c r="J25" i="27"/>
  <c r="Q27" i="27"/>
  <c r="Q26" i="27"/>
  <c r="Q25" i="27"/>
  <c r="C298" i="8"/>
  <c r="D298" i="8"/>
  <c r="E298" i="8"/>
  <c r="F298" i="8"/>
  <c r="G298" i="8"/>
  <c r="H298" i="8"/>
  <c r="I298" i="8"/>
  <c r="J298" i="8"/>
  <c r="K298" i="8"/>
  <c r="C291" i="8"/>
  <c r="D291" i="8"/>
  <c r="E291" i="8"/>
  <c r="F291" i="8"/>
  <c r="G291" i="8"/>
  <c r="H291" i="8"/>
  <c r="I291" i="8"/>
  <c r="J291" i="8"/>
  <c r="K291" i="8"/>
  <c r="C292" i="8"/>
  <c r="D292" i="8"/>
  <c r="E292" i="8"/>
  <c r="F292" i="8"/>
  <c r="G292" i="8"/>
  <c r="H292" i="8"/>
  <c r="I292" i="8"/>
  <c r="J292" i="8"/>
  <c r="K292" i="8"/>
  <c r="C293" i="8"/>
  <c r="D293" i="8"/>
  <c r="E293" i="8"/>
  <c r="F293" i="8"/>
  <c r="G293" i="8"/>
  <c r="H293" i="8"/>
  <c r="I293" i="8"/>
  <c r="J293" i="8"/>
  <c r="K293" i="8"/>
  <c r="C294" i="8"/>
  <c r="D294" i="8"/>
  <c r="E294" i="8"/>
  <c r="F294" i="8"/>
  <c r="G294" i="8"/>
  <c r="H294" i="8"/>
  <c r="I294" i="8"/>
  <c r="J294" i="8"/>
  <c r="K294" i="8"/>
  <c r="C295" i="8"/>
  <c r="D295" i="8"/>
  <c r="E295" i="8"/>
  <c r="F295" i="8"/>
  <c r="G295" i="8"/>
  <c r="H295" i="8"/>
  <c r="I295" i="8"/>
  <c r="J295" i="8"/>
  <c r="K295" i="8"/>
  <c r="C296" i="8"/>
  <c r="D296" i="8"/>
  <c r="E296" i="8"/>
  <c r="F296" i="8"/>
  <c r="G296" i="8"/>
  <c r="H296" i="8"/>
  <c r="I296" i="8"/>
  <c r="J296" i="8"/>
  <c r="K296" i="8"/>
  <c r="C297" i="8"/>
  <c r="D297" i="8"/>
  <c r="E297" i="8"/>
  <c r="F297" i="8"/>
  <c r="G297" i="8"/>
  <c r="H297" i="8"/>
  <c r="I297" i="8"/>
  <c r="J297" i="8"/>
  <c r="K297" i="8"/>
  <c r="AW27" i="27" l="1"/>
  <c r="AW25" i="27"/>
  <c r="AW26" i="27"/>
  <c r="C50" i="1" l="1"/>
  <c r="D50" i="1"/>
  <c r="E50" i="1"/>
  <c r="F50" i="1"/>
  <c r="G50" i="1"/>
  <c r="H50" i="1"/>
  <c r="I50" i="1"/>
  <c r="J50" i="1"/>
  <c r="K50" i="1"/>
  <c r="C13" i="9" l="1"/>
  <c r="K55" i="26"/>
  <c r="J55" i="26"/>
  <c r="I55" i="26"/>
  <c r="H55" i="26"/>
  <c r="G55" i="26"/>
  <c r="F55" i="26"/>
  <c r="E55" i="26"/>
  <c r="D55" i="26"/>
  <c r="C55" i="26"/>
  <c r="K54" i="26"/>
  <c r="J54" i="26"/>
  <c r="I54" i="26"/>
  <c r="H54" i="26"/>
  <c r="G54" i="26"/>
  <c r="F54" i="26"/>
  <c r="E54" i="26"/>
  <c r="D54" i="26"/>
  <c r="C54" i="26"/>
  <c r="K53" i="26"/>
  <c r="J53" i="26"/>
  <c r="I53" i="26"/>
  <c r="H53" i="26"/>
  <c r="G53" i="26"/>
  <c r="F53" i="26"/>
  <c r="E53" i="26"/>
  <c r="D53" i="26"/>
  <c r="C53" i="26"/>
  <c r="C54" i="23"/>
  <c r="D54" i="23"/>
  <c r="E54" i="23"/>
  <c r="F54" i="23"/>
  <c r="G54" i="23"/>
  <c r="H54" i="23"/>
  <c r="I54" i="23"/>
  <c r="J54" i="23"/>
  <c r="K54" i="23"/>
  <c r="C55" i="23"/>
  <c r="D55" i="23"/>
  <c r="E55" i="23"/>
  <c r="F55" i="23"/>
  <c r="G55" i="23"/>
  <c r="H55" i="23"/>
  <c r="I55" i="23"/>
  <c r="J55" i="23"/>
  <c r="K55" i="23"/>
  <c r="C53" i="23"/>
  <c r="D53" i="23"/>
  <c r="E53" i="23"/>
  <c r="F53" i="23"/>
  <c r="G53" i="23"/>
  <c r="H53" i="23"/>
  <c r="I53" i="23"/>
  <c r="J53" i="23"/>
  <c r="K53" i="23"/>
  <c r="C12" i="25" l="1"/>
  <c r="J34" i="21"/>
  <c r="C47" i="21"/>
  <c r="D47" i="21"/>
  <c r="E47" i="21"/>
  <c r="F47" i="21"/>
  <c r="G47" i="21"/>
  <c r="H47" i="21"/>
  <c r="I47" i="21"/>
  <c r="J47" i="21"/>
  <c r="K47" i="21"/>
  <c r="K37" i="21"/>
  <c r="J37" i="21"/>
  <c r="I37" i="21"/>
  <c r="H37" i="21"/>
  <c r="G37" i="21"/>
  <c r="F37" i="21"/>
  <c r="E37" i="21"/>
  <c r="D37" i="21"/>
  <c r="C37" i="21"/>
  <c r="K36" i="21"/>
  <c r="J36" i="21"/>
  <c r="I36" i="21"/>
  <c r="H36" i="21"/>
  <c r="G36" i="21"/>
  <c r="F36" i="21"/>
  <c r="E36" i="21"/>
  <c r="D36" i="21"/>
  <c r="C36" i="21"/>
  <c r="K34" i="21"/>
  <c r="I34" i="21"/>
  <c r="H34" i="21"/>
  <c r="G34" i="21"/>
  <c r="F34" i="21"/>
  <c r="E34" i="21"/>
  <c r="D34" i="21"/>
  <c r="C34" i="21"/>
  <c r="K33" i="21"/>
  <c r="J33" i="21"/>
  <c r="I33" i="21"/>
  <c r="H33" i="21"/>
  <c r="G33" i="21"/>
  <c r="F33" i="21"/>
  <c r="E33" i="21"/>
  <c r="D33" i="21"/>
  <c r="C33" i="21"/>
  <c r="C27" i="21"/>
  <c r="D27" i="21"/>
  <c r="E27" i="21"/>
  <c r="F27" i="21"/>
  <c r="G27" i="21"/>
  <c r="H27" i="21"/>
  <c r="I27" i="21"/>
  <c r="J27" i="21"/>
  <c r="K27" i="21"/>
  <c r="C28" i="21"/>
  <c r="D28" i="21"/>
  <c r="E28" i="21"/>
  <c r="F28" i="21"/>
  <c r="G28" i="21"/>
  <c r="H28" i="21"/>
  <c r="I28" i="21"/>
  <c r="J28" i="21"/>
  <c r="K28" i="21"/>
  <c r="C29" i="21"/>
  <c r="D29" i="21"/>
  <c r="E29" i="21"/>
  <c r="F29" i="21"/>
  <c r="G29" i="21"/>
  <c r="H29" i="21"/>
  <c r="I29" i="21"/>
  <c r="J29" i="21"/>
  <c r="K29" i="21"/>
  <c r="C30" i="21"/>
  <c r="D30" i="21"/>
  <c r="E30" i="21"/>
  <c r="F30" i="21"/>
  <c r="G30" i="21"/>
  <c r="H30" i="21"/>
  <c r="I30" i="21"/>
  <c r="J30" i="21"/>
  <c r="K30" i="21"/>
  <c r="C31" i="21"/>
  <c r="D31" i="21"/>
  <c r="E31" i="21"/>
  <c r="F31" i="21"/>
  <c r="G31" i="21"/>
  <c r="H31" i="21"/>
  <c r="I31" i="21"/>
  <c r="J31" i="21"/>
  <c r="K31" i="21"/>
  <c r="C26" i="21"/>
  <c r="D26" i="21"/>
  <c r="E26" i="21"/>
  <c r="F26" i="21"/>
  <c r="G26" i="21"/>
  <c r="H26" i="21"/>
  <c r="I26" i="21"/>
  <c r="J26" i="21"/>
  <c r="K26" i="21"/>
  <c r="C16" i="18"/>
  <c r="D16" i="18" s="1"/>
  <c r="E16" i="18" s="1"/>
  <c r="F16" i="18" s="1"/>
  <c r="G16" i="18" s="1"/>
  <c r="H16" i="18" s="1"/>
  <c r="I16" i="18" s="1"/>
  <c r="J16" i="18" s="1"/>
  <c r="K16" i="18" s="1"/>
  <c r="L16" i="18" s="1"/>
  <c r="C15" i="18"/>
  <c r="D15" i="18" s="1"/>
  <c r="E15" i="18" s="1"/>
  <c r="F15" i="18" s="1"/>
  <c r="G15" i="18" s="1"/>
  <c r="H15" i="18" s="1"/>
  <c r="I15" i="18" s="1"/>
  <c r="J15" i="18" s="1"/>
  <c r="K15" i="18" s="1"/>
  <c r="L15" i="18" s="1"/>
  <c r="C13" i="18"/>
  <c r="D13" i="18" s="1"/>
  <c r="E13" i="18" s="1"/>
  <c r="F13" i="18" s="1"/>
  <c r="G13" i="18" s="1"/>
  <c r="H13" i="18" s="1"/>
  <c r="I13" i="18" s="1"/>
  <c r="J13" i="18" s="1"/>
  <c r="K13" i="18" s="1"/>
  <c r="L13" i="18" s="1"/>
  <c r="C12" i="18"/>
  <c r="D12" i="18" s="1"/>
  <c r="E12" i="18" s="1"/>
  <c r="F12" i="18" s="1"/>
  <c r="G12" i="18" s="1"/>
  <c r="H12" i="18" s="1"/>
  <c r="I12" i="18" s="1"/>
  <c r="J12" i="18" s="1"/>
  <c r="K12" i="18" s="1"/>
  <c r="L12" i="18" s="1"/>
  <c r="C11" i="18"/>
  <c r="D11" i="18" s="1"/>
  <c r="E11" i="18" s="1"/>
  <c r="F11" i="18" s="1"/>
  <c r="G11" i="18" s="1"/>
  <c r="H11" i="18" s="1"/>
  <c r="I11" i="18" s="1"/>
  <c r="J11" i="18" s="1"/>
  <c r="K11" i="18" s="1"/>
  <c r="L11" i="18" s="1"/>
  <c r="C10" i="18"/>
  <c r="D10" i="18" s="1"/>
  <c r="E10" i="18" s="1"/>
  <c r="F10" i="18" s="1"/>
  <c r="G10" i="18" s="1"/>
  <c r="H10" i="18" s="1"/>
  <c r="I10" i="18" s="1"/>
  <c r="J10" i="18" s="1"/>
  <c r="K10" i="18" s="1"/>
  <c r="L10" i="18" s="1"/>
  <c r="C9" i="18"/>
  <c r="D9" i="18" s="1"/>
  <c r="E9" i="18" s="1"/>
  <c r="F9" i="18" s="1"/>
  <c r="G9" i="18" s="1"/>
  <c r="H9" i="18" s="1"/>
  <c r="I9" i="18" s="1"/>
  <c r="J9" i="18" s="1"/>
  <c r="K9" i="18" s="1"/>
  <c r="L9" i="18" s="1"/>
  <c r="C8" i="18"/>
  <c r="D8" i="18" s="1"/>
  <c r="E8" i="18" s="1"/>
  <c r="F8" i="18" s="1"/>
  <c r="G8" i="18" s="1"/>
  <c r="H8" i="18" s="1"/>
  <c r="I8" i="18" s="1"/>
  <c r="J8" i="18" s="1"/>
  <c r="K8" i="18" s="1"/>
  <c r="L8" i="18" s="1"/>
  <c r="C32" i="5"/>
  <c r="C31" i="5"/>
  <c r="D31" i="5" l="1"/>
  <c r="D18" i="18" s="1"/>
  <c r="I31" i="5"/>
  <c r="I18" i="18" s="1"/>
  <c r="J31" i="5"/>
  <c r="K31" i="5"/>
  <c r="L31" i="5"/>
  <c r="L18" i="18" s="1"/>
  <c r="E31" i="5"/>
  <c r="E18" i="18" s="1"/>
  <c r="F31" i="5"/>
  <c r="F18" i="18" s="1"/>
  <c r="G31" i="5"/>
  <c r="G18" i="18" s="1"/>
  <c r="H31" i="5"/>
  <c r="H18" i="18" s="1"/>
  <c r="K18" i="18"/>
  <c r="J18" i="18"/>
  <c r="C18" i="18"/>
  <c r="L32" i="5"/>
  <c r="L19" i="18" s="1"/>
  <c r="K32" i="5"/>
  <c r="K19" i="18" s="1"/>
  <c r="J32" i="5"/>
  <c r="J19" i="18" s="1"/>
  <c r="E32" i="5"/>
  <c r="E19" i="18" s="1"/>
  <c r="C19" i="18"/>
  <c r="I32" i="5"/>
  <c r="I19" i="18" s="1"/>
  <c r="H32" i="5"/>
  <c r="H19" i="18" s="1"/>
  <c r="G32" i="5"/>
  <c r="G19" i="18" s="1"/>
  <c r="F32" i="5"/>
  <c r="F19" i="18" s="1"/>
  <c r="D32" i="5"/>
  <c r="D19" i="18" s="1"/>
  <c r="D16" i="17"/>
  <c r="E16" i="17" s="1"/>
  <c r="F16" i="17" s="1"/>
  <c r="G16" i="17" s="1"/>
  <c r="H16" i="17" s="1"/>
  <c r="I16" i="17" s="1"/>
  <c r="J16" i="17" s="1"/>
  <c r="K16" i="17" s="1"/>
  <c r="L16" i="17" s="1"/>
  <c r="D15" i="17"/>
  <c r="E15" i="17" s="1"/>
  <c r="F15" i="17" s="1"/>
  <c r="G15" i="17" s="1"/>
  <c r="H15" i="17" s="1"/>
  <c r="I15" i="17" s="1"/>
  <c r="J15" i="17" s="1"/>
  <c r="K15" i="17" s="1"/>
  <c r="L15" i="17" s="1"/>
  <c r="D13" i="17"/>
  <c r="E13" i="17" s="1"/>
  <c r="F13" i="17" s="1"/>
  <c r="G13" i="17" s="1"/>
  <c r="H13" i="17" s="1"/>
  <c r="I13" i="17" s="1"/>
  <c r="J13" i="17" s="1"/>
  <c r="K13" i="17" s="1"/>
  <c r="L13" i="17" s="1"/>
  <c r="E12" i="17"/>
  <c r="F12" i="17" s="1"/>
  <c r="G12" i="17" s="1"/>
  <c r="H12" i="17" s="1"/>
  <c r="I12" i="17" s="1"/>
  <c r="J12" i="17" s="1"/>
  <c r="K12" i="17" s="1"/>
  <c r="L12" i="17" s="1"/>
  <c r="D11" i="17"/>
  <c r="E11" i="17" s="1"/>
  <c r="F11" i="17" s="1"/>
  <c r="G11" i="17" s="1"/>
  <c r="H11" i="17" s="1"/>
  <c r="I11" i="17" s="1"/>
  <c r="J11" i="17" s="1"/>
  <c r="K11" i="17" s="1"/>
  <c r="L11" i="17" s="1"/>
  <c r="D10" i="17"/>
  <c r="E10" i="17" s="1"/>
  <c r="F10" i="17" s="1"/>
  <c r="G10" i="17" s="1"/>
  <c r="H10" i="17" s="1"/>
  <c r="I10" i="17" s="1"/>
  <c r="J10" i="17" s="1"/>
  <c r="K10" i="17" s="1"/>
  <c r="L10" i="17" s="1"/>
  <c r="D9" i="17"/>
  <c r="E9" i="17" s="1"/>
  <c r="F9" i="17" s="1"/>
  <c r="G9" i="17" s="1"/>
  <c r="H9" i="17" s="1"/>
  <c r="I9" i="17" s="1"/>
  <c r="J9" i="17" s="1"/>
  <c r="K9" i="17" s="1"/>
  <c r="L9" i="17" s="1"/>
  <c r="D8" i="17"/>
  <c r="E8" i="17" s="1"/>
  <c r="F8" i="17" s="1"/>
  <c r="G8" i="17" s="1"/>
  <c r="H8" i="17" s="1"/>
  <c r="I8" i="17" s="1"/>
  <c r="J8" i="17" s="1"/>
  <c r="K8" i="17" s="1"/>
  <c r="L8" i="17" s="1"/>
  <c r="C16" i="17"/>
  <c r="C15" i="17"/>
  <c r="C9" i="17"/>
  <c r="C10" i="17"/>
  <c r="C11" i="17"/>
  <c r="C12" i="17"/>
  <c r="C13" i="17"/>
  <c r="C8" i="17"/>
  <c r="L47" i="16" l="1"/>
  <c r="K47" i="16"/>
  <c r="J47" i="16"/>
  <c r="I47" i="16"/>
  <c r="H47" i="16"/>
  <c r="G47" i="16"/>
  <c r="F47" i="16"/>
  <c r="E47" i="16"/>
  <c r="D47" i="16"/>
  <c r="L46" i="16"/>
  <c r="K46" i="16"/>
  <c r="J46" i="16"/>
  <c r="I46" i="16"/>
  <c r="H46" i="16"/>
  <c r="G46" i="16"/>
  <c r="F46" i="16"/>
  <c r="E46" i="16"/>
  <c r="D46" i="16"/>
  <c r="L45" i="16"/>
  <c r="K45" i="16"/>
  <c r="J45" i="16"/>
  <c r="I45" i="16"/>
  <c r="H45" i="16"/>
  <c r="G45" i="16"/>
  <c r="F45" i="16"/>
  <c r="E45" i="16"/>
  <c r="D45" i="16"/>
  <c r="L44" i="16"/>
  <c r="K44" i="16"/>
  <c r="J44" i="16"/>
  <c r="I44" i="16"/>
  <c r="H44" i="16"/>
  <c r="G44" i="16"/>
  <c r="F44" i="16"/>
  <c r="E44" i="16"/>
  <c r="D44" i="16"/>
  <c r="L43" i="16"/>
  <c r="K43" i="16"/>
  <c r="J43" i="16"/>
  <c r="I43" i="16"/>
  <c r="H43" i="16"/>
  <c r="G43" i="16"/>
  <c r="F43" i="16"/>
  <c r="E43" i="16"/>
  <c r="D43" i="16"/>
  <c r="L42" i="16"/>
  <c r="K42" i="16"/>
  <c r="J42" i="16"/>
  <c r="I42" i="16"/>
  <c r="H42" i="16"/>
  <c r="G42" i="16"/>
  <c r="F42" i="16"/>
  <c r="E42" i="16"/>
  <c r="D42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1" i="16"/>
  <c r="K11" i="16"/>
  <c r="J11" i="16"/>
  <c r="I11" i="16"/>
  <c r="H11" i="16"/>
  <c r="G11" i="16"/>
  <c r="F11" i="16"/>
  <c r="E11" i="16"/>
  <c r="D11" i="16"/>
  <c r="D10" i="16"/>
  <c r="E10" i="16"/>
  <c r="F10" i="16"/>
  <c r="G10" i="16"/>
  <c r="H10" i="16"/>
  <c r="I10" i="16"/>
  <c r="J10" i="16"/>
  <c r="K10" i="16"/>
  <c r="L10" i="16"/>
  <c r="K48" i="2"/>
  <c r="K15" i="12"/>
  <c r="J25" i="4" s="1"/>
  <c r="L15" i="12"/>
  <c r="K25" i="4" s="1"/>
  <c r="J15" i="12"/>
  <c r="I25" i="4" s="1"/>
  <c r="I15" i="12"/>
  <c r="H25" i="4" s="1"/>
  <c r="H15" i="12"/>
  <c r="G25" i="4" s="1"/>
  <c r="G15" i="12"/>
  <c r="F25" i="4" s="1"/>
  <c r="F15" i="12"/>
  <c r="E25" i="4" s="1"/>
  <c r="D15" i="12"/>
  <c r="C25" i="4" s="1"/>
  <c r="C15" i="12"/>
  <c r="L15" i="11"/>
  <c r="L48" i="2" s="1"/>
  <c r="L48" i="16" s="1"/>
  <c r="K15" i="11"/>
  <c r="H15" i="11"/>
  <c r="H48" i="2" s="1"/>
  <c r="D15" i="11"/>
  <c r="D48" i="2" s="1"/>
  <c r="C15" i="11"/>
  <c r="I15" i="11"/>
  <c r="I48" i="2" s="1"/>
  <c r="K44" i="10"/>
  <c r="J44" i="10"/>
  <c r="I44" i="10"/>
  <c r="H44" i="10"/>
  <c r="G44" i="10"/>
  <c r="F44" i="10"/>
  <c r="E44" i="10"/>
  <c r="D44" i="10"/>
  <c r="K34" i="10"/>
  <c r="J34" i="10"/>
  <c r="I34" i="10"/>
  <c r="H34" i="10"/>
  <c r="G34" i="10"/>
  <c r="F34" i="10"/>
  <c r="E34" i="10"/>
  <c r="D34" i="10"/>
  <c r="K10" i="10"/>
  <c r="J10" i="10"/>
  <c r="I10" i="10"/>
  <c r="H10" i="10"/>
  <c r="G10" i="10"/>
  <c r="F10" i="10"/>
  <c r="E10" i="10"/>
  <c r="D10" i="10"/>
  <c r="C10" i="10"/>
  <c r="I29" i="23" l="1"/>
  <c r="I29" i="26"/>
  <c r="H29" i="23"/>
  <c r="H29" i="26"/>
  <c r="G29" i="23"/>
  <c r="G29" i="26"/>
  <c r="F29" i="26"/>
  <c r="F29" i="23"/>
  <c r="E29" i="23"/>
  <c r="E29" i="26"/>
  <c r="C29" i="23"/>
  <c r="C29" i="26"/>
  <c r="K29" i="26"/>
  <c r="K29" i="23"/>
  <c r="J29" i="26"/>
  <c r="J29" i="23"/>
  <c r="K48" i="16"/>
  <c r="J5" i="22" s="1"/>
  <c r="I48" i="16"/>
  <c r="H48" i="16"/>
  <c r="D48" i="16"/>
  <c r="J6" i="22"/>
  <c r="E15" i="12"/>
  <c r="D25" i="4" s="1"/>
  <c r="D29" i="26" s="1"/>
  <c r="E15" i="11"/>
  <c r="E48" i="2" s="1"/>
  <c r="E48" i="16" s="1"/>
  <c r="C6" i="22" s="1"/>
  <c r="J15" i="11"/>
  <c r="J48" i="2" s="1"/>
  <c r="J48" i="16" s="1"/>
  <c r="I5" i="22" s="1"/>
  <c r="F15" i="11"/>
  <c r="F48" i="2" s="1"/>
  <c r="F48" i="16" s="1"/>
  <c r="G15" i="11"/>
  <c r="G48" i="2" s="1"/>
  <c r="G48" i="16" s="1"/>
  <c r="F5" i="22" s="1"/>
  <c r="I11" i="10"/>
  <c r="I40" i="10" s="1"/>
  <c r="H11" i="10"/>
  <c r="H40" i="10" s="1"/>
  <c r="D29" i="10"/>
  <c r="D11" i="10"/>
  <c r="D40" i="10" s="1"/>
  <c r="G33" i="10"/>
  <c r="K29" i="10"/>
  <c r="H29" i="10"/>
  <c r="K33" i="10"/>
  <c r="F11" i="10"/>
  <c r="F40" i="10" s="1"/>
  <c r="E11" i="10"/>
  <c r="E40" i="10" s="1"/>
  <c r="K11" i="10"/>
  <c r="K40" i="10" s="1"/>
  <c r="F29" i="10"/>
  <c r="H33" i="10"/>
  <c r="I29" i="10"/>
  <c r="D33" i="10"/>
  <c r="J29" i="10"/>
  <c r="E29" i="10"/>
  <c r="J11" i="10"/>
  <c r="J40" i="10" s="1"/>
  <c r="G11" i="10"/>
  <c r="G40" i="10" s="1"/>
  <c r="C17" i="8"/>
  <c r="D17" i="8"/>
  <c r="E17" i="8"/>
  <c r="G17" i="8"/>
  <c r="K236" i="8"/>
  <c r="D29" i="23" l="1"/>
  <c r="D6" i="22"/>
  <c r="C5" i="22"/>
  <c r="C7" i="22" s="1"/>
  <c r="C5" i="24" s="1"/>
  <c r="F6" i="22"/>
  <c r="F7" i="22" s="1"/>
  <c r="F5" i="24" s="1"/>
  <c r="H5" i="22"/>
  <c r="E5" i="22"/>
  <c r="I6" i="22"/>
  <c r="I7" i="22" s="1"/>
  <c r="I5" i="24" s="1"/>
  <c r="G6" i="22"/>
  <c r="H6" i="22"/>
  <c r="D5" i="22"/>
  <c r="J7" i="22"/>
  <c r="J5" i="24" s="1"/>
  <c r="G5" i="22"/>
  <c r="E6" i="22"/>
  <c r="G29" i="10"/>
  <c r="G36" i="10" s="1"/>
  <c r="G43" i="10" s="1"/>
  <c r="G45" i="10" s="1"/>
  <c r="F33" i="10"/>
  <c r="F36" i="10" s="1"/>
  <c r="F43" i="10" s="1"/>
  <c r="F45" i="10" s="1"/>
  <c r="J33" i="10"/>
  <c r="J36" i="10" s="1"/>
  <c r="J43" i="10" s="1"/>
  <c r="J45" i="10" s="1"/>
  <c r="E33" i="10"/>
  <c r="E36" i="10" s="1"/>
  <c r="E43" i="10" s="1"/>
  <c r="E45" i="10" s="1"/>
  <c r="K36" i="10"/>
  <c r="K43" i="10" s="1"/>
  <c r="K45" i="10" s="1"/>
  <c r="I33" i="10"/>
  <c r="I36" i="10" s="1"/>
  <c r="I43" i="10" s="1"/>
  <c r="I45" i="10" s="1"/>
  <c r="H36" i="10"/>
  <c r="H43" i="10" s="1"/>
  <c r="H45" i="10" s="1"/>
  <c r="D36" i="10"/>
  <c r="D43" i="10" s="1"/>
  <c r="D45" i="10" s="1"/>
  <c r="D7" i="22" l="1"/>
  <c r="C47" i="10"/>
  <c r="C6" i="25" s="1"/>
  <c r="E7" i="22"/>
  <c r="E9" i="22" s="1"/>
  <c r="H7" i="22"/>
  <c r="H9" i="22" s="1"/>
  <c r="G7" i="22"/>
  <c r="G5" i="24" s="1"/>
  <c r="F9" i="22"/>
  <c r="J9" i="22"/>
  <c r="I9" i="22"/>
  <c r="C9" i="22"/>
  <c r="E5" i="24"/>
  <c r="D5" i="24"/>
  <c r="D9" i="22"/>
  <c r="K132" i="8"/>
  <c r="G9" i="22" l="1"/>
  <c r="C11" i="22" s="1"/>
  <c r="H5" i="24"/>
  <c r="J306" i="8"/>
  <c r="I306" i="8"/>
  <c r="I17" i="8" s="1"/>
  <c r="H306" i="8"/>
  <c r="H17" i="8" s="1"/>
  <c r="F306" i="8"/>
  <c r="C310" i="8"/>
  <c r="D310" i="8"/>
  <c r="E310" i="8"/>
  <c r="G310" i="8"/>
  <c r="C309" i="8"/>
  <c r="D309" i="8"/>
  <c r="E309" i="8"/>
  <c r="G309" i="8"/>
  <c r="I310" i="8" l="1"/>
  <c r="I309" i="8"/>
  <c r="F310" i="8"/>
  <c r="F17" i="8"/>
  <c r="H309" i="8"/>
  <c r="H310" i="8"/>
  <c r="J310" i="8"/>
  <c r="J17" i="8"/>
  <c r="J309" i="8"/>
  <c r="F309" i="8"/>
  <c r="K17" i="8" l="1"/>
  <c r="K310" i="8"/>
  <c r="K311" i="8" s="1"/>
  <c r="K309" i="8"/>
  <c r="K321" i="8"/>
  <c r="K255" i="8"/>
  <c r="K19" i="8" s="1"/>
  <c r="K11" i="8"/>
  <c r="K10" i="8"/>
  <c r="K18" i="8"/>
  <c r="J321" i="8"/>
  <c r="J328" i="8" s="1"/>
  <c r="I321" i="8"/>
  <c r="I328" i="8" s="1"/>
  <c r="I23" i="8" s="1"/>
  <c r="I24" i="8" s="1"/>
  <c r="H321" i="8"/>
  <c r="H328" i="8" s="1"/>
  <c r="H23" i="8" s="1"/>
  <c r="H24" i="8" s="1"/>
  <c r="F321" i="8"/>
  <c r="F328" i="8" s="1"/>
  <c r="E321" i="8"/>
  <c r="D321" i="8"/>
  <c r="C321" i="8"/>
  <c r="G321" i="8"/>
  <c r="G328" i="8" s="1"/>
  <c r="G23" i="8" s="1"/>
  <c r="G24" i="8" s="1"/>
  <c r="C23" i="8"/>
  <c r="C24" i="8" s="1"/>
  <c r="D23" i="8"/>
  <c r="D24" i="8" s="1"/>
  <c r="E23" i="8"/>
  <c r="E24" i="8" s="1"/>
  <c r="G311" i="8"/>
  <c r="F311" i="8"/>
  <c r="E311" i="8"/>
  <c r="H18" i="8"/>
  <c r="G18" i="8"/>
  <c r="F18" i="8"/>
  <c r="E18" i="8"/>
  <c r="D18" i="8"/>
  <c r="J255" i="8"/>
  <c r="J19" i="8" s="1"/>
  <c r="I255" i="8"/>
  <c r="I19" i="8" s="1"/>
  <c r="H255" i="8"/>
  <c r="H19" i="8" s="1"/>
  <c r="G255" i="8"/>
  <c r="G19" i="8" s="1"/>
  <c r="F255" i="8"/>
  <c r="F19" i="8" s="1"/>
  <c r="E255" i="8"/>
  <c r="E19" i="8" s="1"/>
  <c r="D255" i="8"/>
  <c r="D19" i="8" s="1"/>
  <c r="C255" i="8"/>
  <c r="C19" i="8" s="1"/>
  <c r="J236" i="8"/>
  <c r="J11" i="8" s="1"/>
  <c r="I236" i="8"/>
  <c r="I11" i="8" s="1"/>
  <c r="H236" i="8"/>
  <c r="H11" i="8" s="1"/>
  <c r="G236" i="8"/>
  <c r="G11" i="8" s="1"/>
  <c r="F236" i="8"/>
  <c r="F11" i="8" s="1"/>
  <c r="E236" i="8"/>
  <c r="E11" i="8" s="1"/>
  <c r="D236" i="8"/>
  <c r="D11" i="8" s="1"/>
  <c r="C236" i="8"/>
  <c r="C11" i="8" s="1"/>
  <c r="J132" i="8"/>
  <c r="J10" i="8" s="1"/>
  <c r="I132" i="8"/>
  <c r="I10" i="8" s="1"/>
  <c r="H132" i="8"/>
  <c r="H10" i="8" s="1"/>
  <c r="G132" i="8"/>
  <c r="G10" i="8" s="1"/>
  <c r="F132" i="8"/>
  <c r="F10" i="8" s="1"/>
  <c r="E132" i="8"/>
  <c r="E10" i="8" s="1"/>
  <c r="D132" i="8"/>
  <c r="D10" i="8" s="1"/>
  <c r="C132" i="8"/>
  <c r="C10" i="8" s="1"/>
  <c r="I18" i="8"/>
  <c r="C18" i="8"/>
  <c r="K328" i="8" l="1"/>
  <c r="K23" i="8" s="1"/>
  <c r="K24" i="8" s="1"/>
  <c r="K26" i="8"/>
  <c r="K27" i="8" s="1"/>
  <c r="K300" i="8"/>
  <c r="K14" i="8" s="1"/>
  <c r="K13" i="8" s="1"/>
  <c r="K12" i="8"/>
  <c r="J23" i="8"/>
  <c r="J24" i="8" s="1"/>
  <c r="C14" i="8"/>
  <c r="J300" i="8"/>
  <c r="J14" i="8" s="1"/>
  <c r="I300" i="8"/>
  <c r="I14" i="8" s="1"/>
  <c r="H12" i="8"/>
  <c r="F300" i="8"/>
  <c r="F14" i="8" s="1"/>
  <c r="D300" i="8"/>
  <c r="D14" i="8" s="1"/>
  <c r="G300" i="8"/>
  <c r="G14" i="8" s="1"/>
  <c r="H26" i="8"/>
  <c r="H27" i="8" s="1"/>
  <c r="E300" i="8"/>
  <c r="E14" i="8" s="1"/>
  <c r="J12" i="8"/>
  <c r="H300" i="8"/>
  <c r="H14" i="8" s="1"/>
  <c r="H13" i="8" s="1"/>
  <c r="D26" i="8"/>
  <c r="D27" i="8" s="1"/>
  <c r="G26" i="8"/>
  <c r="G27" i="8" s="1"/>
  <c r="H311" i="8"/>
  <c r="F23" i="8"/>
  <c r="F24" i="8" s="1"/>
  <c r="I311" i="8"/>
  <c r="J311" i="8"/>
  <c r="C311" i="8"/>
  <c r="D311" i="8"/>
  <c r="C26" i="8"/>
  <c r="C27" i="8" s="1"/>
  <c r="F26" i="8"/>
  <c r="F27" i="8" s="1"/>
  <c r="J18" i="8"/>
  <c r="C12" i="8"/>
  <c r="D12" i="8"/>
  <c r="E12" i="8"/>
  <c r="F12" i="8"/>
  <c r="G12" i="8"/>
  <c r="I12" i="8"/>
  <c r="H21" i="8" l="1"/>
  <c r="H29" i="8" s="1"/>
  <c r="H42" i="21" s="1"/>
  <c r="K21" i="8"/>
  <c r="K29" i="8" s="1"/>
  <c r="K42" i="21" s="1"/>
  <c r="J26" i="8"/>
  <c r="J27" i="8" s="1"/>
  <c r="J13" i="8"/>
  <c r="J21" i="8" s="1"/>
  <c r="I13" i="8"/>
  <c r="I21" i="8" s="1"/>
  <c r="G13" i="8"/>
  <c r="G21" i="8" s="1"/>
  <c r="G29" i="8" s="1"/>
  <c r="G42" i="21" s="1"/>
  <c r="D13" i="8"/>
  <c r="D21" i="8" s="1"/>
  <c r="D29" i="8" s="1"/>
  <c r="D42" i="21" s="1"/>
  <c r="F13" i="8"/>
  <c r="F21" i="8" s="1"/>
  <c r="F29" i="8" s="1"/>
  <c r="F42" i="21" s="1"/>
  <c r="I26" i="8"/>
  <c r="I27" i="8" s="1"/>
  <c r="E13" i="8"/>
  <c r="E21" i="8" s="1"/>
  <c r="C13" i="8"/>
  <c r="C21" i="8" s="1"/>
  <c r="C29" i="8" s="1"/>
  <c r="C42" i="21" s="1"/>
  <c r="E26" i="8"/>
  <c r="E27" i="8" s="1"/>
  <c r="J29" i="8" l="1"/>
  <c r="J42" i="21" s="1"/>
  <c r="E29" i="8"/>
  <c r="E42" i="21" s="1"/>
  <c r="I29" i="8"/>
  <c r="I42" i="21" s="1"/>
  <c r="K20" i="4"/>
  <c r="K30" i="4" s="1"/>
  <c r="J20" i="4"/>
  <c r="J30" i="4" s="1"/>
  <c r="I20" i="4"/>
  <c r="I30" i="4" s="1"/>
  <c r="H20" i="4"/>
  <c r="H30" i="4" s="1"/>
  <c r="G20" i="4"/>
  <c r="G30" i="4" s="1"/>
  <c r="F20" i="4"/>
  <c r="F30" i="4" s="1"/>
  <c r="E20" i="4"/>
  <c r="E30" i="4" s="1"/>
  <c r="D20" i="4"/>
  <c r="D30" i="4" s="1"/>
  <c r="C20" i="4"/>
  <c r="E59" i="23" l="1"/>
  <c r="E59" i="26"/>
  <c r="F59" i="23"/>
  <c r="F59" i="26"/>
  <c r="D59" i="26"/>
  <c r="D59" i="23"/>
  <c r="H59" i="23"/>
  <c r="H59" i="26"/>
  <c r="J59" i="23"/>
  <c r="J59" i="26"/>
  <c r="G59" i="26"/>
  <c r="G59" i="23"/>
  <c r="K59" i="26"/>
  <c r="K59" i="23"/>
  <c r="C59" i="26"/>
  <c r="C59" i="23"/>
  <c r="I59" i="23"/>
  <c r="I59" i="26"/>
  <c r="K24" i="3"/>
  <c r="K33" i="3" s="1"/>
  <c r="J24" i="3"/>
  <c r="I24" i="3"/>
  <c r="H24" i="3"/>
  <c r="H33" i="3" s="1"/>
  <c r="G24" i="3"/>
  <c r="F24" i="3"/>
  <c r="F33" i="3" s="1"/>
  <c r="E24" i="3"/>
  <c r="E33" i="3" s="1"/>
  <c r="D24" i="3"/>
  <c r="C24" i="3"/>
  <c r="C33" i="3" s="1"/>
  <c r="K15" i="3"/>
  <c r="J15" i="3"/>
  <c r="I15" i="3"/>
  <c r="I33" i="3" s="1"/>
  <c r="H15" i="3"/>
  <c r="G15" i="3"/>
  <c r="F15" i="3"/>
  <c r="E15" i="3"/>
  <c r="D15" i="3"/>
  <c r="C15" i="3"/>
  <c r="C30" i="3"/>
  <c r="D30" i="3"/>
  <c r="E30" i="3"/>
  <c r="F30" i="3"/>
  <c r="G30" i="3"/>
  <c r="H30" i="3"/>
  <c r="I30" i="3"/>
  <c r="J30" i="3"/>
  <c r="K30" i="3"/>
  <c r="C31" i="3"/>
  <c r="D31" i="3"/>
  <c r="E31" i="3"/>
  <c r="F31" i="3"/>
  <c r="G31" i="3"/>
  <c r="H31" i="3"/>
  <c r="I31" i="3"/>
  <c r="J31" i="3"/>
  <c r="K31" i="3"/>
  <c r="C29" i="3"/>
  <c r="D29" i="3"/>
  <c r="E29" i="3"/>
  <c r="F29" i="3"/>
  <c r="G29" i="3"/>
  <c r="H29" i="3"/>
  <c r="I29" i="3"/>
  <c r="J29" i="3"/>
  <c r="K29" i="3"/>
  <c r="F12" i="13"/>
  <c r="D12" i="13"/>
  <c r="G12" i="13"/>
  <c r="J12" i="13"/>
  <c r="H21" i="13"/>
  <c r="L21" i="13"/>
  <c r="E21" i="13"/>
  <c r="C12" i="13"/>
  <c r="F11" i="13"/>
  <c r="H12" i="13"/>
  <c r="H13" i="13" s="1"/>
  <c r="E12" i="13"/>
  <c r="E13" i="13" s="1"/>
  <c r="L12" i="13"/>
  <c r="I21" i="13"/>
  <c r="F21" i="13"/>
  <c r="G21" i="13"/>
  <c r="I11" i="13"/>
  <c r="J21" i="13"/>
  <c r="E11" i="13"/>
  <c r="L11" i="13"/>
  <c r="J11" i="13"/>
  <c r="K21" i="13"/>
  <c r="L20" i="13" s="1"/>
  <c r="D11" i="13"/>
  <c r="K11" i="13"/>
  <c r="D21" i="13"/>
  <c r="H11" i="13"/>
  <c r="G11" i="13"/>
  <c r="K12" i="13"/>
  <c r="K13" i="13" s="1"/>
  <c r="I12" i="13"/>
  <c r="E22" i="13" l="1"/>
  <c r="F20" i="21"/>
  <c r="F19" i="19"/>
  <c r="E37" i="19" s="1"/>
  <c r="F19" i="21"/>
  <c r="F9" i="19"/>
  <c r="E27" i="19" s="1"/>
  <c r="F9" i="21"/>
  <c r="E53" i="21" s="1"/>
  <c r="E34" i="23" s="1"/>
  <c r="F17" i="21"/>
  <c r="F16" i="21"/>
  <c r="F17" i="19"/>
  <c r="E35" i="19" s="1"/>
  <c r="F11" i="19"/>
  <c r="E29" i="19" s="1"/>
  <c r="F10" i="20" s="1"/>
  <c r="F16" i="19"/>
  <c r="E34" i="19" s="1"/>
  <c r="F15" i="20" s="1"/>
  <c r="F12" i="21"/>
  <c r="E56" i="21" s="1"/>
  <c r="E37" i="23" s="1"/>
  <c r="F11" i="21"/>
  <c r="F10" i="19"/>
  <c r="E28" i="19" s="1"/>
  <c r="F14" i="19"/>
  <c r="E32" i="19" s="1"/>
  <c r="F13" i="21"/>
  <c r="F13" i="19"/>
  <c r="E31" i="19" s="1"/>
  <c r="F14" i="21"/>
  <c r="F10" i="21"/>
  <c r="F20" i="19"/>
  <c r="E38" i="19" s="1"/>
  <c r="F12" i="19"/>
  <c r="E30" i="19" s="1"/>
  <c r="F11" i="20" s="1"/>
  <c r="K19" i="19"/>
  <c r="J37" i="19" s="1"/>
  <c r="K18" i="20" s="1"/>
  <c r="K9" i="19"/>
  <c r="J27" i="19" s="1"/>
  <c r="K20" i="21"/>
  <c r="K16" i="21"/>
  <c r="K17" i="19"/>
  <c r="J35" i="19" s="1"/>
  <c r="K19" i="21"/>
  <c r="K9" i="21"/>
  <c r="K17" i="21"/>
  <c r="K13" i="19"/>
  <c r="J31" i="19" s="1"/>
  <c r="K13" i="21"/>
  <c r="K14" i="21"/>
  <c r="K10" i="21"/>
  <c r="K11" i="19"/>
  <c r="J29" i="19" s="1"/>
  <c r="K16" i="19"/>
  <c r="J34" i="19" s="1"/>
  <c r="K15" i="20" s="1"/>
  <c r="K11" i="21"/>
  <c r="J55" i="21" s="1"/>
  <c r="J36" i="26" s="1"/>
  <c r="K20" i="19"/>
  <c r="J38" i="19" s="1"/>
  <c r="K10" i="19"/>
  <c r="J28" i="19" s="1"/>
  <c r="K12" i="19"/>
  <c r="J30" i="19" s="1"/>
  <c r="K12" i="21"/>
  <c r="K14" i="19"/>
  <c r="J32" i="19" s="1"/>
  <c r="G22" i="13"/>
  <c r="H16" i="21"/>
  <c r="G60" i="21" s="1"/>
  <c r="H20" i="21"/>
  <c r="H19" i="19"/>
  <c r="G37" i="19" s="1"/>
  <c r="H18" i="20" s="1"/>
  <c r="H19" i="21"/>
  <c r="H9" i="21"/>
  <c r="H17" i="21"/>
  <c r="G61" i="21" s="1"/>
  <c r="H9" i="19"/>
  <c r="G27" i="19" s="1"/>
  <c r="H17" i="19"/>
  <c r="G35" i="19" s="1"/>
  <c r="H12" i="19"/>
  <c r="G30" i="19" s="1"/>
  <c r="H11" i="19"/>
  <c r="G29" i="19" s="1"/>
  <c r="H12" i="21"/>
  <c r="H13" i="21"/>
  <c r="G57" i="21" s="1"/>
  <c r="H20" i="19"/>
  <c r="G38" i="19" s="1"/>
  <c r="H10" i="19"/>
  <c r="G28" i="19" s="1"/>
  <c r="H14" i="19"/>
  <c r="G32" i="19" s="1"/>
  <c r="H13" i="20" s="1"/>
  <c r="H14" i="21"/>
  <c r="G58" i="21" s="1"/>
  <c r="H10" i="21"/>
  <c r="G54" i="21" s="1"/>
  <c r="H11" i="21"/>
  <c r="G55" i="21" s="1"/>
  <c r="H13" i="19"/>
  <c r="G31" i="19" s="1"/>
  <c r="H16" i="19"/>
  <c r="G34" i="19" s="1"/>
  <c r="M17" i="19"/>
  <c r="L35" i="19" s="1"/>
  <c r="M17" i="21"/>
  <c r="M9" i="19"/>
  <c r="L27" i="19" s="1"/>
  <c r="M16" i="21"/>
  <c r="M20" i="21"/>
  <c r="M19" i="19"/>
  <c r="L37" i="19" s="1"/>
  <c r="M19" i="21"/>
  <c r="M9" i="21"/>
  <c r="M13" i="21"/>
  <c r="M10" i="19"/>
  <c r="L28" i="19" s="1"/>
  <c r="M14" i="19"/>
  <c r="L32" i="19" s="1"/>
  <c r="M14" i="21"/>
  <c r="M13" i="19"/>
  <c r="L31" i="19" s="1"/>
  <c r="M10" i="21"/>
  <c r="M11" i="21"/>
  <c r="M12" i="19"/>
  <c r="L30" i="19" s="1"/>
  <c r="M12" i="21"/>
  <c r="M11" i="19"/>
  <c r="L29" i="19" s="1"/>
  <c r="M16" i="19"/>
  <c r="L34" i="19" s="1"/>
  <c r="M20" i="19"/>
  <c r="L38" i="19" s="1"/>
  <c r="E20" i="21"/>
  <c r="D64" i="21" s="1"/>
  <c r="E19" i="21"/>
  <c r="D63" i="21" s="1"/>
  <c r="E9" i="21"/>
  <c r="E17" i="21"/>
  <c r="E9" i="19"/>
  <c r="D27" i="19" s="1"/>
  <c r="E19" i="19"/>
  <c r="D37" i="19" s="1"/>
  <c r="E18" i="20" s="1"/>
  <c r="E16" i="21"/>
  <c r="D60" i="21" s="1"/>
  <c r="E17" i="19"/>
  <c r="D35" i="19" s="1"/>
  <c r="E11" i="19"/>
  <c r="D29" i="19" s="1"/>
  <c r="E20" i="19"/>
  <c r="D38" i="19" s="1"/>
  <c r="E19" i="20" s="1"/>
  <c r="E16" i="19"/>
  <c r="D34" i="19" s="1"/>
  <c r="E11" i="21"/>
  <c r="D55" i="21" s="1"/>
  <c r="E10" i="19"/>
  <c r="D28" i="19" s="1"/>
  <c r="E9" i="20" s="1"/>
  <c r="E12" i="21"/>
  <c r="D56" i="21" s="1"/>
  <c r="E13" i="19"/>
  <c r="D31" i="19" s="1"/>
  <c r="E13" i="21"/>
  <c r="E12" i="19"/>
  <c r="D30" i="19" s="1"/>
  <c r="E14" i="21"/>
  <c r="E10" i="21"/>
  <c r="E14" i="19"/>
  <c r="D32" i="19" s="1"/>
  <c r="E13" i="20" s="1"/>
  <c r="I20" i="13"/>
  <c r="I16" i="21"/>
  <c r="I17" i="19"/>
  <c r="H35" i="19" s="1"/>
  <c r="I16" i="20" s="1"/>
  <c r="I20" i="21"/>
  <c r="H64" i="21" s="1"/>
  <c r="I19" i="21"/>
  <c r="H63" i="21" s="1"/>
  <c r="I9" i="21"/>
  <c r="H53" i="21" s="1"/>
  <c r="I19" i="19"/>
  <c r="H37" i="19" s="1"/>
  <c r="I17" i="21"/>
  <c r="I9" i="19"/>
  <c r="H27" i="19" s="1"/>
  <c r="I12" i="19"/>
  <c r="H30" i="19" s="1"/>
  <c r="I13" i="21"/>
  <c r="I12" i="21"/>
  <c r="I11" i="19"/>
  <c r="H29" i="19" s="1"/>
  <c r="I10" i="20" s="1"/>
  <c r="I16" i="19"/>
  <c r="H34" i="19" s="1"/>
  <c r="I14" i="21"/>
  <c r="H58" i="21" s="1"/>
  <c r="I10" i="21"/>
  <c r="H54" i="21" s="1"/>
  <c r="I20" i="19"/>
  <c r="H38" i="19" s="1"/>
  <c r="I10" i="19"/>
  <c r="H28" i="19" s="1"/>
  <c r="I9" i="20" s="1"/>
  <c r="I14" i="19"/>
  <c r="H32" i="19" s="1"/>
  <c r="I11" i="21"/>
  <c r="I13" i="19"/>
  <c r="H31" i="19" s="1"/>
  <c r="J13" i="13"/>
  <c r="G9" i="21"/>
  <c r="G20" i="21"/>
  <c r="F64" i="21" s="1"/>
  <c r="G19" i="19"/>
  <c r="F37" i="19" s="1"/>
  <c r="G19" i="21"/>
  <c r="G17" i="21"/>
  <c r="G9" i="19"/>
  <c r="F27" i="19" s="1"/>
  <c r="G8" i="20" s="1"/>
  <c r="G16" i="21"/>
  <c r="F60" i="21" s="1"/>
  <c r="G17" i="19"/>
  <c r="F35" i="19" s="1"/>
  <c r="G16" i="20" s="1"/>
  <c r="G11" i="21"/>
  <c r="G12" i="19"/>
  <c r="F30" i="19" s="1"/>
  <c r="G11" i="20" s="1"/>
  <c r="G12" i="21"/>
  <c r="G11" i="19"/>
  <c r="F29" i="19" s="1"/>
  <c r="G10" i="20" s="1"/>
  <c r="G16" i="19"/>
  <c r="F34" i="19" s="1"/>
  <c r="G15" i="20" s="1"/>
  <c r="G20" i="19"/>
  <c r="F38" i="19" s="1"/>
  <c r="G13" i="21"/>
  <c r="F57" i="21" s="1"/>
  <c r="G10" i="19"/>
  <c r="F28" i="19" s="1"/>
  <c r="G9" i="20" s="1"/>
  <c r="G14" i="19"/>
  <c r="F32" i="19" s="1"/>
  <c r="G13" i="20" s="1"/>
  <c r="G14" i="21"/>
  <c r="G10" i="21"/>
  <c r="G13" i="19"/>
  <c r="F31" i="19" s="1"/>
  <c r="G12" i="20" s="1"/>
  <c r="J20" i="21"/>
  <c r="J16" i="21"/>
  <c r="I60" i="21" s="1"/>
  <c r="I41" i="26" s="1"/>
  <c r="J17" i="19"/>
  <c r="I35" i="19" s="1"/>
  <c r="J16" i="20" s="1"/>
  <c r="J19" i="19"/>
  <c r="I37" i="19" s="1"/>
  <c r="J9" i="19"/>
  <c r="I27" i="19" s="1"/>
  <c r="J19" i="21"/>
  <c r="I63" i="21" s="1"/>
  <c r="I44" i="26" s="1"/>
  <c r="J9" i="21"/>
  <c r="I53" i="21" s="1"/>
  <c r="I34" i="26" s="1"/>
  <c r="J17" i="21"/>
  <c r="J12" i="21"/>
  <c r="I56" i="21" s="1"/>
  <c r="I37" i="23" s="1"/>
  <c r="J13" i="19"/>
  <c r="I31" i="19" s="1"/>
  <c r="J12" i="20" s="1"/>
  <c r="J13" i="21"/>
  <c r="I57" i="21" s="1"/>
  <c r="I38" i="23" s="1"/>
  <c r="J12" i="19"/>
  <c r="I30" i="19" s="1"/>
  <c r="J11" i="20" s="1"/>
  <c r="J14" i="21"/>
  <c r="I58" i="21" s="1"/>
  <c r="I39" i="23" s="1"/>
  <c r="J10" i="21"/>
  <c r="J11" i="19"/>
  <c r="I29" i="19" s="1"/>
  <c r="J16" i="19"/>
  <c r="I34" i="19" s="1"/>
  <c r="J20" i="19"/>
  <c r="I38" i="19" s="1"/>
  <c r="J11" i="21"/>
  <c r="J10" i="19"/>
  <c r="I28" i="19" s="1"/>
  <c r="J9" i="20" s="1"/>
  <c r="J14" i="19"/>
  <c r="I32" i="19" s="1"/>
  <c r="L22" i="13"/>
  <c r="L17" i="21"/>
  <c r="L9" i="19"/>
  <c r="K27" i="19" s="1"/>
  <c r="L20" i="21"/>
  <c r="L19" i="19"/>
  <c r="K37" i="19" s="1"/>
  <c r="L17" i="19"/>
  <c r="K35" i="19" s="1"/>
  <c r="L16" i="21"/>
  <c r="L19" i="21"/>
  <c r="L9" i="21"/>
  <c r="L10" i="21"/>
  <c r="L13" i="21"/>
  <c r="L13" i="19"/>
  <c r="K31" i="19" s="1"/>
  <c r="L14" i="21"/>
  <c r="L12" i="19"/>
  <c r="K30" i="19" s="1"/>
  <c r="L11" i="21"/>
  <c r="L11" i="19"/>
  <c r="K29" i="19" s="1"/>
  <c r="L16" i="19"/>
  <c r="K34" i="19" s="1"/>
  <c r="L12" i="21"/>
  <c r="L10" i="19"/>
  <c r="K28" i="19" s="1"/>
  <c r="L20" i="19"/>
  <c r="K38" i="19" s="1"/>
  <c r="L14" i="19"/>
  <c r="K32" i="19" s="1"/>
  <c r="D13" i="13"/>
  <c r="D20" i="13"/>
  <c r="D19" i="21"/>
  <c r="D20" i="21"/>
  <c r="D9" i="21"/>
  <c r="C53" i="21" s="1"/>
  <c r="D10" i="21"/>
  <c r="C54" i="21" s="1"/>
  <c r="D12" i="21"/>
  <c r="C56" i="21" s="1"/>
  <c r="D13" i="21"/>
  <c r="C57" i="21" s="1"/>
  <c r="D14" i="21"/>
  <c r="C58" i="21" s="1"/>
  <c r="D16" i="21"/>
  <c r="D11" i="21"/>
  <c r="D17" i="21"/>
  <c r="C61" i="21" s="1"/>
  <c r="D9" i="19"/>
  <c r="C27" i="19" s="1"/>
  <c r="D19" i="19"/>
  <c r="C37" i="19" s="1"/>
  <c r="D17" i="19"/>
  <c r="C35" i="19" s="1"/>
  <c r="D12" i="19"/>
  <c r="C30" i="19" s="1"/>
  <c r="D11" i="19"/>
  <c r="C29" i="19" s="1"/>
  <c r="D10" i="19"/>
  <c r="C28" i="19" s="1"/>
  <c r="D20" i="19"/>
  <c r="C38" i="19" s="1"/>
  <c r="D16" i="19"/>
  <c r="C34" i="19" s="1"/>
  <c r="D14" i="19"/>
  <c r="C32" i="19" s="1"/>
  <c r="D13" i="19"/>
  <c r="C31" i="19" s="1"/>
  <c r="F25" i="23"/>
  <c r="F25" i="26"/>
  <c r="G33" i="3"/>
  <c r="I23" i="23"/>
  <c r="I23" i="26"/>
  <c r="G23" i="23"/>
  <c r="G23" i="26"/>
  <c r="F23" i="26"/>
  <c r="F23" i="23"/>
  <c r="J24" i="23"/>
  <c r="J24" i="26"/>
  <c r="K25" i="23"/>
  <c r="K25" i="26"/>
  <c r="H24" i="26"/>
  <c r="H24" i="23"/>
  <c r="E23" i="26"/>
  <c r="E23" i="23"/>
  <c r="D23" i="23"/>
  <c r="D23" i="26"/>
  <c r="I24" i="26"/>
  <c r="I24" i="23"/>
  <c r="J25" i="26"/>
  <c r="J25" i="23"/>
  <c r="G24" i="26"/>
  <c r="G24" i="23"/>
  <c r="J33" i="3"/>
  <c r="C24" i="23"/>
  <c r="C24" i="26"/>
  <c r="H23" i="26"/>
  <c r="H23" i="23"/>
  <c r="K24" i="23"/>
  <c r="K24" i="26"/>
  <c r="C23" i="26"/>
  <c r="C23" i="23"/>
  <c r="I25" i="26"/>
  <c r="I25" i="23"/>
  <c r="F24" i="26"/>
  <c r="F24" i="23"/>
  <c r="K23" i="23"/>
  <c r="K23" i="26"/>
  <c r="H25" i="26"/>
  <c r="H25" i="23"/>
  <c r="E24" i="26"/>
  <c r="E24" i="23"/>
  <c r="E25" i="26"/>
  <c r="E25" i="23"/>
  <c r="D25" i="23"/>
  <c r="D25" i="26"/>
  <c r="C25" i="23"/>
  <c r="C25" i="26"/>
  <c r="J23" i="23"/>
  <c r="J23" i="26"/>
  <c r="G25" i="26"/>
  <c r="G25" i="23"/>
  <c r="D24" i="23"/>
  <c r="D24" i="26"/>
  <c r="D33" i="3"/>
  <c r="F13" i="13"/>
  <c r="K22" i="13"/>
  <c r="H20" i="13"/>
  <c r="G13" i="13"/>
  <c r="I22" i="13"/>
  <c r="D22" i="13"/>
  <c r="L13" i="13"/>
  <c r="J20" i="13"/>
  <c r="H22" i="13"/>
  <c r="F22" i="13"/>
  <c r="G20" i="13"/>
  <c r="F20" i="13"/>
  <c r="J22" i="13"/>
  <c r="K20" i="13"/>
  <c r="I13" i="13"/>
  <c r="E20" i="13"/>
  <c r="I41" i="23" l="1"/>
  <c r="L10" i="20"/>
  <c r="K64" i="21"/>
  <c r="L11" i="20"/>
  <c r="K55" i="21"/>
  <c r="K36" i="26" s="1"/>
  <c r="L8" i="20"/>
  <c r="K64" i="26" s="1"/>
  <c r="K61" i="21"/>
  <c r="K42" i="23" s="1"/>
  <c r="K54" i="21"/>
  <c r="K35" i="23" s="1"/>
  <c r="L16" i="20"/>
  <c r="K72" i="23" s="1"/>
  <c r="K58" i="21"/>
  <c r="K39" i="26" s="1"/>
  <c r="L12" i="20"/>
  <c r="K68" i="26" s="1"/>
  <c r="L13" i="20"/>
  <c r="K69" i="26" s="1"/>
  <c r="J19" i="20"/>
  <c r="I19" i="20"/>
  <c r="H75" i="26" s="1"/>
  <c r="L18" i="20"/>
  <c r="K74" i="26" s="1"/>
  <c r="I39" i="26"/>
  <c r="F58" i="21"/>
  <c r="F39" i="23" s="1"/>
  <c r="G18" i="20"/>
  <c r="E16" i="20"/>
  <c r="I34" i="23"/>
  <c r="K12" i="20"/>
  <c r="J68" i="23" s="1"/>
  <c r="I44" i="23"/>
  <c r="E34" i="26"/>
  <c r="E61" i="21"/>
  <c r="E42" i="23" s="1"/>
  <c r="D57" i="21"/>
  <c r="D38" i="26" s="1"/>
  <c r="J36" i="23"/>
  <c r="I37" i="26"/>
  <c r="F68" i="23"/>
  <c r="F68" i="26"/>
  <c r="H34" i="23"/>
  <c r="H34" i="26"/>
  <c r="J64" i="21"/>
  <c r="F54" i="21"/>
  <c r="D65" i="23"/>
  <c r="D65" i="26"/>
  <c r="D45" i="23"/>
  <c r="D45" i="26"/>
  <c r="E71" i="23"/>
  <c r="E71" i="26"/>
  <c r="I68" i="23"/>
  <c r="I68" i="26"/>
  <c r="J74" i="26"/>
  <c r="J74" i="23"/>
  <c r="C64" i="21"/>
  <c r="C45" i="26" s="1"/>
  <c r="F69" i="23"/>
  <c r="F69" i="26"/>
  <c r="F61" i="21"/>
  <c r="H39" i="26"/>
  <c r="H39" i="23"/>
  <c r="H72" i="26"/>
  <c r="H72" i="23"/>
  <c r="E15" i="20"/>
  <c r="G69" i="26"/>
  <c r="G69" i="23"/>
  <c r="G74" i="26"/>
  <c r="G74" i="23"/>
  <c r="J54" i="21"/>
  <c r="E67" i="26"/>
  <c r="E67" i="23"/>
  <c r="F16" i="20"/>
  <c r="C63" i="21"/>
  <c r="C44" i="26" s="1"/>
  <c r="J13" i="20"/>
  <c r="I61" i="21"/>
  <c r="F65" i="23"/>
  <c r="F65" i="26"/>
  <c r="F63" i="21"/>
  <c r="I15" i="20"/>
  <c r="H60" i="21"/>
  <c r="D75" i="26"/>
  <c r="D75" i="23"/>
  <c r="H9" i="20"/>
  <c r="G64" i="21"/>
  <c r="J58" i="21"/>
  <c r="F19" i="20"/>
  <c r="E60" i="21"/>
  <c r="I67" i="26"/>
  <c r="I67" i="23"/>
  <c r="D44" i="23"/>
  <c r="D44" i="26"/>
  <c r="G36" i="26"/>
  <c r="G36" i="23"/>
  <c r="J71" i="26"/>
  <c r="J71" i="23"/>
  <c r="D36" i="23"/>
  <c r="D36" i="26"/>
  <c r="K10" i="20"/>
  <c r="I65" i="26"/>
  <c r="I65" i="23"/>
  <c r="F38" i="23"/>
  <c r="F38" i="26"/>
  <c r="J57" i="21"/>
  <c r="D69" i="26"/>
  <c r="D69" i="23"/>
  <c r="G38" i="23"/>
  <c r="G38" i="26"/>
  <c r="F71" i="26"/>
  <c r="F71" i="23"/>
  <c r="D41" i="23"/>
  <c r="D41" i="26"/>
  <c r="K13" i="20"/>
  <c r="C55" i="21"/>
  <c r="C36" i="26" s="1"/>
  <c r="L19" i="20"/>
  <c r="K63" i="21"/>
  <c r="J15" i="20"/>
  <c r="J18" i="20"/>
  <c r="F66" i="23"/>
  <c r="F66" i="26"/>
  <c r="I11" i="20"/>
  <c r="D58" i="21"/>
  <c r="D74" i="23"/>
  <c r="D74" i="26"/>
  <c r="H10" i="20"/>
  <c r="J56" i="21"/>
  <c r="J53" i="21"/>
  <c r="E57" i="21"/>
  <c r="E63" i="21"/>
  <c r="K66" i="26"/>
  <c r="K66" i="23"/>
  <c r="K45" i="23"/>
  <c r="K45" i="26"/>
  <c r="D37" i="23"/>
  <c r="D37" i="26"/>
  <c r="G35" i="26"/>
  <c r="G35" i="23"/>
  <c r="K67" i="23"/>
  <c r="K67" i="26"/>
  <c r="H35" i="26"/>
  <c r="H35" i="23"/>
  <c r="H45" i="26"/>
  <c r="H45" i="23"/>
  <c r="G63" i="21"/>
  <c r="H66" i="23"/>
  <c r="H66" i="26"/>
  <c r="H19" i="20"/>
  <c r="H56" i="21"/>
  <c r="J68" i="26"/>
  <c r="I75" i="26"/>
  <c r="I75" i="23"/>
  <c r="H57" i="21"/>
  <c r="J61" i="21"/>
  <c r="J10" i="20"/>
  <c r="I72" i="23"/>
  <c r="I72" i="26"/>
  <c r="F56" i="21"/>
  <c r="I12" i="20"/>
  <c r="I8" i="20"/>
  <c r="E11" i="20"/>
  <c r="E8" i="20"/>
  <c r="H11" i="20"/>
  <c r="K11" i="20"/>
  <c r="J63" i="21"/>
  <c r="F13" i="20"/>
  <c r="F18" i="20"/>
  <c r="H65" i="26"/>
  <c r="H65" i="23"/>
  <c r="K8" i="20"/>
  <c r="G39" i="23"/>
  <c r="G39" i="26"/>
  <c r="K57" i="21"/>
  <c r="F74" i="23"/>
  <c r="F74" i="26"/>
  <c r="G41" i="26"/>
  <c r="G41" i="23"/>
  <c r="G19" i="20"/>
  <c r="F45" i="23"/>
  <c r="F45" i="26"/>
  <c r="E58" i="21"/>
  <c r="K53" i="21"/>
  <c r="F53" i="21"/>
  <c r="F12" i="20"/>
  <c r="C60" i="21"/>
  <c r="C41" i="23" s="1"/>
  <c r="K60" i="21"/>
  <c r="I38" i="26"/>
  <c r="E37" i="26"/>
  <c r="K56" i="21"/>
  <c r="I54" i="21"/>
  <c r="F67" i="26"/>
  <c r="F67" i="23"/>
  <c r="H55" i="21"/>
  <c r="H61" i="21"/>
  <c r="D61" i="21"/>
  <c r="H15" i="20"/>
  <c r="H16" i="20"/>
  <c r="K9" i="20"/>
  <c r="K16" i="20"/>
  <c r="F9" i="20"/>
  <c r="E64" i="21"/>
  <c r="F72" i="23"/>
  <c r="F72" i="26"/>
  <c r="G42" i="23"/>
  <c r="G42" i="26"/>
  <c r="F41" i="26"/>
  <c r="F41" i="23"/>
  <c r="H44" i="26"/>
  <c r="H44" i="23"/>
  <c r="G53" i="21"/>
  <c r="F64" i="26"/>
  <c r="F64" i="23"/>
  <c r="E66" i="26"/>
  <c r="E66" i="23"/>
  <c r="E10" i="20"/>
  <c r="E54" i="21"/>
  <c r="I55" i="21"/>
  <c r="D72" i="23"/>
  <c r="D72" i="26"/>
  <c r="J8" i="20"/>
  <c r="D54" i="21"/>
  <c r="G56" i="21"/>
  <c r="F8" i="20"/>
  <c r="L9" i="20"/>
  <c r="L15" i="20"/>
  <c r="I64" i="21"/>
  <c r="F55" i="21"/>
  <c r="I13" i="20"/>
  <c r="I18" i="20"/>
  <c r="E12" i="20"/>
  <c r="D53" i="21"/>
  <c r="H12" i="20"/>
  <c r="H8" i="20"/>
  <c r="K19" i="20"/>
  <c r="J60" i="21"/>
  <c r="E55" i="21"/>
  <c r="C42" i="26"/>
  <c r="C42" i="23"/>
  <c r="D12" i="20"/>
  <c r="C12" i="20"/>
  <c r="D13" i="20"/>
  <c r="C13" i="20"/>
  <c r="C39" i="26"/>
  <c r="C39" i="23"/>
  <c r="C15" i="20"/>
  <c r="D15" i="20"/>
  <c r="C38" i="26"/>
  <c r="C38" i="23"/>
  <c r="D11" i="20"/>
  <c r="C11" i="20"/>
  <c r="D19" i="20"/>
  <c r="C19" i="20"/>
  <c r="C37" i="23"/>
  <c r="C37" i="26"/>
  <c r="D9" i="20"/>
  <c r="C9" i="20"/>
  <c r="C35" i="23"/>
  <c r="C35" i="26"/>
  <c r="C34" i="26"/>
  <c r="C34" i="23"/>
  <c r="C16" i="20"/>
  <c r="D16" i="20"/>
  <c r="C10" i="20"/>
  <c r="D10" i="20"/>
  <c r="C18" i="20"/>
  <c r="D18" i="20"/>
  <c r="C8" i="20"/>
  <c r="D8" i="20"/>
  <c r="E42" i="26" l="1"/>
  <c r="F39" i="26"/>
  <c r="K39" i="23"/>
  <c r="K74" i="23"/>
  <c r="K42" i="26"/>
  <c r="K35" i="26"/>
  <c r="K36" i="23"/>
  <c r="K64" i="23"/>
  <c r="K69" i="23"/>
  <c r="K68" i="23"/>
  <c r="K72" i="26"/>
  <c r="H75" i="23"/>
  <c r="D38" i="23"/>
  <c r="C36" i="23"/>
  <c r="C41" i="26"/>
  <c r="C45" i="23"/>
  <c r="C44" i="23"/>
  <c r="H37" i="26"/>
  <c r="H37" i="23"/>
  <c r="E72" i="23"/>
  <c r="E72" i="26"/>
  <c r="I36" i="26"/>
  <c r="I36" i="23"/>
  <c r="D42" i="23"/>
  <c r="D42" i="26"/>
  <c r="F75" i="23"/>
  <c r="F75" i="26"/>
  <c r="F37" i="26"/>
  <c r="F37" i="23"/>
  <c r="D39" i="26"/>
  <c r="D39" i="23"/>
  <c r="H41" i="26"/>
  <c r="H41" i="23"/>
  <c r="I45" i="26"/>
  <c r="I45" i="23"/>
  <c r="E35" i="26"/>
  <c r="E35" i="23"/>
  <c r="K41" i="23"/>
  <c r="K41" i="26"/>
  <c r="H67" i="26"/>
  <c r="H67" i="23"/>
  <c r="J66" i="23"/>
  <c r="J66" i="26"/>
  <c r="H71" i="26"/>
  <c r="H71" i="23"/>
  <c r="J35" i="26"/>
  <c r="J35" i="23"/>
  <c r="D66" i="26"/>
  <c r="D66" i="23"/>
  <c r="G44" i="23"/>
  <c r="G44" i="26"/>
  <c r="F44" i="23"/>
  <c r="F44" i="26"/>
  <c r="G72" i="26"/>
  <c r="G72" i="23"/>
  <c r="G71" i="26"/>
  <c r="G71" i="23"/>
  <c r="F42" i="26"/>
  <c r="F42" i="23"/>
  <c r="E74" i="26"/>
  <c r="E74" i="23"/>
  <c r="F35" i="23"/>
  <c r="F35" i="26"/>
  <c r="F34" i="26"/>
  <c r="F34" i="23"/>
  <c r="E69" i="26"/>
  <c r="E69" i="23"/>
  <c r="I74" i="26"/>
  <c r="I74" i="23"/>
  <c r="J45" i="26"/>
  <c r="J45" i="23"/>
  <c r="J75" i="26"/>
  <c r="J75" i="23"/>
  <c r="J44" i="23"/>
  <c r="J44" i="26"/>
  <c r="I42" i="23"/>
  <c r="I42" i="26"/>
  <c r="G64" i="26"/>
  <c r="G64" i="23"/>
  <c r="E64" i="26"/>
  <c r="E64" i="23"/>
  <c r="J67" i="23"/>
  <c r="J67" i="26"/>
  <c r="E38" i="26"/>
  <c r="E38" i="23"/>
  <c r="K44" i="26"/>
  <c r="K44" i="23"/>
  <c r="E75" i="23"/>
  <c r="E75" i="26"/>
  <c r="I69" i="26"/>
  <c r="I69" i="23"/>
  <c r="D71" i="23"/>
  <c r="D71" i="26"/>
  <c r="H64" i="23"/>
  <c r="H64" i="26"/>
  <c r="H42" i="26"/>
  <c r="H42" i="23"/>
  <c r="I66" i="26"/>
  <c r="I66" i="23"/>
  <c r="K65" i="23"/>
  <c r="K65" i="26"/>
  <c r="K38" i="23"/>
  <c r="K38" i="26"/>
  <c r="E44" i="26"/>
  <c r="E44" i="23"/>
  <c r="G68" i="26"/>
  <c r="G68" i="23"/>
  <c r="G37" i="23"/>
  <c r="G37" i="26"/>
  <c r="G34" i="26"/>
  <c r="G34" i="23"/>
  <c r="E65" i="23"/>
  <c r="E65" i="26"/>
  <c r="I35" i="23"/>
  <c r="I35" i="26"/>
  <c r="G67" i="23"/>
  <c r="G67" i="26"/>
  <c r="J34" i="26"/>
  <c r="J34" i="23"/>
  <c r="K75" i="26"/>
  <c r="K75" i="23"/>
  <c r="J39" i="23"/>
  <c r="J39" i="26"/>
  <c r="J64" i="23"/>
  <c r="J64" i="26"/>
  <c r="H69" i="26"/>
  <c r="H69" i="23"/>
  <c r="H68" i="26"/>
  <c r="H68" i="23"/>
  <c r="E36" i="26"/>
  <c r="E36" i="23"/>
  <c r="K71" i="23"/>
  <c r="K71" i="26"/>
  <c r="I71" i="26"/>
  <c r="I71" i="23"/>
  <c r="E45" i="23"/>
  <c r="E45" i="26"/>
  <c r="D34" i="26"/>
  <c r="D34" i="23"/>
  <c r="D35" i="26"/>
  <c r="D35" i="23"/>
  <c r="J72" i="23"/>
  <c r="J72" i="26"/>
  <c r="D64" i="26"/>
  <c r="D9" i="26" s="1"/>
  <c r="D64" i="23"/>
  <c r="J37" i="23"/>
  <c r="J37" i="26"/>
  <c r="J38" i="26"/>
  <c r="J38" i="23"/>
  <c r="G45" i="26"/>
  <c r="G45" i="23"/>
  <c r="H74" i="23"/>
  <c r="H74" i="26"/>
  <c r="K37" i="23"/>
  <c r="K37" i="26"/>
  <c r="G75" i="23"/>
  <c r="G75" i="26"/>
  <c r="F36" i="23"/>
  <c r="F36" i="26"/>
  <c r="E68" i="23"/>
  <c r="E68" i="26"/>
  <c r="J41" i="26"/>
  <c r="J41" i="23"/>
  <c r="H36" i="23"/>
  <c r="H36" i="26"/>
  <c r="J42" i="26"/>
  <c r="J42" i="23"/>
  <c r="K34" i="26"/>
  <c r="K34" i="23"/>
  <c r="H38" i="23"/>
  <c r="H38" i="26"/>
  <c r="E41" i="26"/>
  <c r="E41" i="23"/>
  <c r="D68" i="23"/>
  <c r="D68" i="26"/>
  <c r="I64" i="26"/>
  <c r="I64" i="23"/>
  <c r="J65" i="26"/>
  <c r="J65" i="23"/>
  <c r="E39" i="26"/>
  <c r="E39" i="23"/>
  <c r="D67" i="26"/>
  <c r="D67" i="23"/>
  <c r="G66" i="23"/>
  <c r="G66" i="26"/>
  <c r="J69" i="26"/>
  <c r="J69" i="23"/>
  <c r="G65" i="26"/>
  <c r="G65" i="23"/>
  <c r="C75" i="23"/>
  <c r="C75" i="26"/>
  <c r="C72" i="26"/>
  <c r="C72" i="23"/>
  <c r="C71" i="26"/>
  <c r="C71" i="23"/>
  <c r="C67" i="26"/>
  <c r="C67" i="23"/>
  <c r="C68" i="23"/>
  <c r="C68" i="26"/>
  <c r="C66" i="23"/>
  <c r="C66" i="26"/>
  <c r="C64" i="23"/>
  <c r="C64" i="26"/>
  <c r="C74" i="23"/>
  <c r="C74" i="26"/>
  <c r="C69" i="26"/>
  <c r="C69" i="23"/>
  <c r="C65" i="23"/>
  <c r="C65" i="26"/>
  <c r="C9" i="26" l="1"/>
  <c r="C10" i="26"/>
  <c r="J10" i="26"/>
  <c r="E10" i="26"/>
  <c r="G10" i="26"/>
  <c r="H9" i="26"/>
  <c r="D9" i="23"/>
  <c r="D10" i="23"/>
  <c r="E9" i="23"/>
  <c r="I9" i="26"/>
  <c r="H10" i="26"/>
  <c r="H9" i="23"/>
  <c r="G10" i="23"/>
  <c r="D10" i="26"/>
  <c r="E9" i="26"/>
  <c r="H10" i="23"/>
  <c r="I9" i="23"/>
  <c r="J9" i="26"/>
  <c r="I10" i="26"/>
  <c r="F10" i="26"/>
  <c r="G9" i="26"/>
  <c r="J10" i="23"/>
  <c r="C9" i="23"/>
  <c r="E10" i="23"/>
  <c r="F9" i="23"/>
  <c r="F9" i="26"/>
  <c r="J9" i="23"/>
  <c r="I10" i="23"/>
  <c r="G9" i="23"/>
  <c r="F10" i="23"/>
  <c r="C10" i="23"/>
  <c r="H11" i="23" l="1"/>
  <c r="H13" i="23" s="1"/>
  <c r="J11" i="26"/>
  <c r="J13" i="26" s="1"/>
  <c r="C11" i="26"/>
  <c r="C13" i="26" s="1"/>
  <c r="E11" i="26"/>
  <c r="E13" i="26" s="1"/>
  <c r="G11" i="26"/>
  <c r="G13" i="26" s="1"/>
  <c r="I11" i="23"/>
  <c r="F11" i="23"/>
  <c r="F6" i="24" s="1"/>
  <c r="F7" i="24" s="1"/>
  <c r="F9" i="24" s="1"/>
  <c r="I11" i="26"/>
  <c r="I13" i="26" s="1"/>
  <c r="C11" i="23"/>
  <c r="C13" i="23" s="1"/>
  <c r="J11" i="23"/>
  <c r="J13" i="23" s="1"/>
  <c r="F11" i="26"/>
  <c r="F13" i="26" s="1"/>
  <c r="E11" i="23"/>
  <c r="D11" i="26"/>
  <c r="D13" i="26" s="1"/>
  <c r="D11" i="23"/>
  <c r="H11" i="26"/>
  <c r="H13" i="26" s="1"/>
  <c r="G11" i="23"/>
  <c r="H6" i="24" l="1"/>
  <c r="H7" i="24" s="1"/>
  <c r="H9" i="24" s="1"/>
  <c r="F13" i="23"/>
  <c r="J6" i="24"/>
  <c r="J7" i="24" s="1"/>
  <c r="J9" i="24" s="1"/>
  <c r="C6" i="24"/>
  <c r="C7" i="24" s="1"/>
  <c r="C9" i="24" s="1"/>
  <c r="I13" i="23"/>
  <c r="I6" i="24"/>
  <c r="I7" i="24" s="1"/>
  <c r="I9" i="24" s="1"/>
  <c r="C15" i="26"/>
  <c r="C7" i="25" s="1"/>
  <c r="D8" i="25" s="1"/>
  <c r="G6" i="24"/>
  <c r="G7" i="24" s="1"/>
  <c r="G9" i="24" s="1"/>
  <c r="G13" i="23"/>
  <c r="E6" i="24"/>
  <c r="E7" i="24" s="1"/>
  <c r="E9" i="24" s="1"/>
  <c r="E13" i="23"/>
  <c r="D13" i="23"/>
  <c r="D6" i="24"/>
  <c r="D7" i="24" s="1"/>
  <c r="D9" i="24" s="1"/>
  <c r="C15" i="23" l="1"/>
  <c r="C11" i="24"/>
  <c r="C11" i="25" s="1"/>
  <c r="D13" i="25" s="1"/>
  <c r="D15" i="25" s="1"/>
  <c r="F1" i="1" s="1"/>
  <c r="H1" i="13" l="1"/>
  <c r="H1" i="12"/>
  <c r="H1" i="11"/>
  <c r="I1" i="26"/>
  <c r="H1" i="15"/>
  <c r="F1" i="8"/>
  <c r="F1" i="10"/>
  <c r="H1" i="21"/>
  <c r="J1" i="9"/>
  <c r="D19" i="25"/>
  <c r="G2" i="5"/>
</calcChain>
</file>

<file path=xl/sharedStrings.xml><?xml version="1.0" encoding="utf-8"?>
<sst xmlns="http://schemas.openxmlformats.org/spreadsheetml/2006/main" count="1724" uniqueCount="415">
  <si>
    <t>Categoría o Denominación de los Servicios</t>
  </si>
  <si>
    <t>Unidad</t>
  </si>
  <si>
    <t>1. Servicios Estándar</t>
  </si>
  <si>
    <t>Servicio a la nave</t>
  </si>
  <si>
    <t>Naves de Carga</t>
  </si>
  <si>
    <t>Naves de Pasajeros</t>
  </si>
  <si>
    <t>Contenedores Full 20"</t>
  </si>
  <si>
    <t>Contenedores Full 40"</t>
  </si>
  <si>
    <t>Contenedores Mty 20"</t>
  </si>
  <si>
    <t>Contenedores Mty 40"</t>
  </si>
  <si>
    <t>Contenedores Reefer 40" Mty</t>
  </si>
  <si>
    <t>Contenedores Reefer 40" Full</t>
  </si>
  <si>
    <t xml:space="preserve">Servicios a la carga contenerizada (Embarque/Descarga) </t>
  </si>
  <si>
    <t>Granel Sólido</t>
  </si>
  <si>
    <t>Carga Fraccionada</t>
  </si>
  <si>
    <t>Carga Rodante</t>
  </si>
  <si>
    <t>Líquida a granel</t>
  </si>
  <si>
    <t>2. Servicios Especiales</t>
  </si>
  <si>
    <t>Ingresos Especiales Contenedores</t>
  </si>
  <si>
    <t>Gate in/out Dry (Mty 20'' y 40'')</t>
  </si>
  <si>
    <t>Gate in/out Reefers (Mty 20'' y 40'')</t>
  </si>
  <si>
    <t>Consolidación/Desconsolidación 20'' Dry</t>
  </si>
  <si>
    <t>Consolidación/Desconsolidación 40'' Dry</t>
  </si>
  <si>
    <t>Consolidación/Desconsolidación 40'' Reefers</t>
  </si>
  <si>
    <t>Energía y Monitoreo Reefers</t>
  </si>
  <si>
    <t>Conexión/Desconexión Reefers</t>
  </si>
  <si>
    <t>Ingresos Especiales: carga no contenerizada</t>
  </si>
  <si>
    <t xml:space="preserve">Carga Sobredimensionada </t>
  </si>
  <si>
    <t>Carga Peligrosa</t>
  </si>
  <si>
    <t>Carga Proyecto</t>
  </si>
  <si>
    <t>Almacenaje</t>
  </si>
  <si>
    <t>Graneles Limpios</t>
  </si>
  <si>
    <t>Carga Suelta</t>
  </si>
  <si>
    <t xml:space="preserve">3. Otros Ingresos </t>
  </si>
  <si>
    <t>Ocupación de Muelles o Áreas</t>
  </si>
  <si>
    <t>Emisión de Certificados</t>
  </si>
  <si>
    <t>Control PBIP</t>
  </si>
  <si>
    <t>Movimientos Extras</t>
  </si>
  <si>
    <t>Pesaje Extraordinario</t>
  </si>
  <si>
    <t>Suministro de Energía</t>
  </si>
  <si>
    <t>Otros</t>
  </si>
  <si>
    <t>2.1.1. Ingresos</t>
  </si>
  <si>
    <t>Ingresos Netos (En USD)</t>
  </si>
  <si>
    <t>2.1.2. Cantidades de Servicios Prestados</t>
  </si>
  <si>
    <t>Metro eslora-hora</t>
  </si>
  <si>
    <t>Pasajero</t>
  </si>
  <si>
    <t>Box</t>
  </si>
  <si>
    <t>Tonelada</t>
  </si>
  <si>
    <t>Contenedor</t>
  </si>
  <si>
    <t>N° Torres</t>
  </si>
  <si>
    <t>Tn/Día</t>
  </si>
  <si>
    <t>Camión</t>
  </si>
  <si>
    <t>Movimiento</t>
  </si>
  <si>
    <t>Contenedor/Hora</t>
  </si>
  <si>
    <r>
      <t>m</t>
    </r>
    <r>
      <rPr>
        <vertAlign val="superscript"/>
        <sz val="11"/>
        <color theme="1"/>
        <rFont val="Aptos Light"/>
        <family val="2"/>
      </rPr>
      <t>3</t>
    </r>
  </si>
  <si>
    <r>
      <t>m</t>
    </r>
    <r>
      <rPr>
        <vertAlign val="superscript"/>
        <sz val="11"/>
        <color theme="1"/>
        <rFont val="Aptos Light"/>
        <family val="2"/>
      </rPr>
      <t>2</t>
    </r>
  </si>
  <si>
    <t>a) Cantidad horas-hombre (horas-hombre)</t>
  </si>
  <si>
    <t>Categorías Laborales</t>
  </si>
  <si>
    <t>Gasto operativo fijo</t>
  </si>
  <si>
    <t>Gasto administrativo</t>
  </si>
  <si>
    <t>Gasto personal variable</t>
  </si>
  <si>
    <t>b) Gasto en mano de obra (En USD)</t>
  </si>
  <si>
    <t>Total horas-hombre</t>
  </si>
  <si>
    <t>Total gasto en mano de obra</t>
  </si>
  <si>
    <t>Precio implícito total</t>
  </si>
  <si>
    <t>2.2.1. Mano de Obra</t>
  </si>
  <si>
    <t>2.2.2. Productos Intermedios (Materiales)</t>
  </si>
  <si>
    <t>a) Gasto en materiales y productos intermedios (En USD)</t>
  </si>
  <si>
    <t>Gasto en materiales</t>
  </si>
  <si>
    <t>Gastos - Contabilidad Regulatoria</t>
  </si>
  <si>
    <t>Suministros</t>
  </si>
  <si>
    <t>Combustibles y lubricantes</t>
  </si>
  <si>
    <t>Outsourcing de personal</t>
  </si>
  <si>
    <t>Servicios de terceros excepto mantenimiento</t>
  </si>
  <si>
    <t>Mantenimiento de Activos</t>
  </si>
  <si>
    <t>Seguros</t>
  </si>
  <si>
    <t>Otros Costos</t>
  </si>
  <si>
    <t>Total de gasto en materiales</t>
  </si>
  <si>
    <t>b) Precio de materiales y productos intermedios</t>
  </si>
  <si>
    <t>IPC ajustado por tipo de cambio</t>
  </si>
  <si>
    <t>c) Precio implícito del trabajo (En USD)</t>
  </si>
  <si>
    <t>Cantidad de materiales y productos intermedios</t>
  </si>
  <si>
    <t>c) Cantidad de materiales y productos intermedios</t>
  </si>
  <si>
    <t>a) Tasas de depreciación anuales</t>
  </si>
  <si>
    <t>%</t>
  </si>
  <si>
    <t>Obras civiles iniciales</t>
  </si>
  <si>
    <t>Equipamiento inicial</t>
  </si>
  <si>
    <t>USD</t>
  </si>
  <si>
    <t>Maquinaria</t>
  </si>
  <si>
    <t>Edificaciones</t>
  </si>
  <si>
    <t>Muelle</t>
  </si>
  <si>
    <t>Total</t>
  </si>
  <si>
    <t>Categorías Contables</t>
  </si>
  <si>
    <t>Tasa depreciación (%)</t>
  </si>
  <si>
    <t>Activos Fijos</t>
  </si>
  <si>
    <t>Instalaciones </t>
  </si>
  <si>
    <t>Maquinaria y equipo</t>
  </si>
  <si>
    <t xml:space="preserve">Unidades de transporte </t>
  </si>
  <si>
    <t>Muebles y enseres</t>
  </si>
  <si>
    <t>Equipos diversos</t>
  </si>
  <si>
    <t>Equipos de cómputo</t>
  </si>
  <si>
    <t>Software y licencias</t>
  </si>
  <si>
    <t xml:space="preserve">Bienes de la concesión </t>
  </si>
  <si>
    <t>2.2.3.2. Inversión, Depreciación Acumulada y Ajustes Contables</t>
  </si>
  <si>
    <t>a) Inversiones Adicionales de Capital (En USD)</t>
  </si>
  <si>
    <t>b) Depreciación Acumulada de Capital (En USD)</t>
  </si>
  <si>
    <t>c) Ajustes contables a inversiones de Capital (En USD)</t>
  </si>
  <si>
    <t>Índice</t>
  </si>
  <si>
    <t>2.2.3.8. Costo Promedio Ponderado de Capital (WACC)</t>
  </si>
  <si>
    <t>a) Cálculo del WACC</t>
  </si>
  <si>
    <t>Rf</t>
  </si>
  <si>
    <t>Rm</t>
  </si>
  <si>
    <t>Beta desapalancado</t>
  </si>
  <si>
    <t>Tasa impositiva en el Perú</t>
  </si>
  <si>
    <t>Participación de los trabajadores</t>
  </si>
  <si>
    <t xml:space="preserve">Deuda Financiera </t>
  </si>
  <si>
    <t>Patrimonio</t>
  </si>
  <si>
    <t>R país</t>
  </si>
  <si>
    <t>Re</t>
  </si>
  <si>
    <t>Costo deuda</t>
  </si>
  <si>
    <t>Costo deuda ddi</t>
  </si>
  <si>
    <t>D/(D+E)</t>
  </si>
  <si>
    <t>E/(D+E)</t>
  </si>
  <si>
    <t>WACC</t>
  </si>
  <si>
    <t>b) Rentabilidad esperada de activos sin riesgo (Porcentaje)</t>
  </si>
  <si>
    <t>Return on 10-year T. Bond</t>
  </si>
  <si>
    <t>Año</t>
  </si>
  <si>
    <t>Promedio</t>
  </si>
  <si>
    <t>Fuente: http://people.stern.nyu.edu/adamodar/New_Home_Page/datacurrent.html</t>
  </si>
  <si>
    <t>c) Riesgo de mercado (Porcentaje)</t>
  </si>
  <si>
    <t>S&amp;P 500</t>
  </si>
  <si>
    <t>d) Riesgo país (Porcentaje)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</si>
  <si>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</si>
  <si>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</si>
  <si>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</si>
  <si>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</si>
  <si>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</si>
  <si>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</si>
  <si>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</si>
  <si>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</si>
  <si>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</si>
  <si>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</si>
  <si>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</si>
  <si>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</si>
  <si>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</si>
  <si>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 anual</t>
  </si>
  <si>
    <t>e) Betas</t>
  </si>
  <si>
    <t>Betas apalancados</t>
  </si>
  <si>
    <t>Tasa de Impuesto</t>
  </si>
  <si>
    <t>D/E</t>
  </si>
  <si>
    <t>Beta no apalancado</t>
  </si>
  <si>
    <t>Beta promedio no apalancado</t>
  </si>
  <si>
    <t>f) Betas</t>
  </si>
  <si>
    <t>Deuda Financiera/Patrimonio</t>
  </si>
  <si>
    <t>Deuda Financiera/(Deuda Financiera + Patrimonio)</t>
  </si>
  <si>
    <t>Patrimonio/(Deuda Financiera + Patrimonio)</t>
  </si>
  <si>
    <t>g) Costo de deuda</t>
  </si>
  <si>
    <t>Montos a pagar</t>
  </si>
  <si>
    <t>Préstamos y Pagarés</t>
  </si>
  <si>
    <t xml:space="preserve">Costo de la deuda </t>
  </si>
  <si>
    <t>COFIDE</t>
  </si>
  <si>
    <t>CAF</t>
  </si>
  <si>
    <t>Saldo de deuda</t>
  </si>
  <si>
    <t>Tasa de interés efectivamente pagada</t>
  </si>
  <si>
    <t>Santander</t>
  </si>
  <si>
    <t>Saldo de deuda total</t>
  </si>
  <si>
    <t>Obligaciones financieras</t>
  </si>
  <si>
    <t>2.2.3.1. Tasas de depreciación</t>
  </si>
  <si>
    <t>Beta TP Paracas</t>
  </si>
  <si>
    <t>Rm-Rf</t>
  </si>
  <si>
    <t>4. Productividad Total de Factores de la Economía</t>
  </si>
  <si>
    <t>Variación PTF economía</t>
  </si>
  <si>
    <t>Fuente: The Conference Board.</t>
  </si>
  <si>
    <t>5. Variación del precio de insumos de la economía</t>
  </si>
  <si>
    <t>Precio del insumo trabajo de la economía</t>
  </si>
  <si>
    <t>Ingreso promedio por hora del último trimestre (en Soles corrientes)</t>
  </si>
  <si>
    <t>Tipo de Cambio promedio del último trimestre (Soles por USD)</t>
  </si>
  <si>
    <t>Ingreso promedio por hora (en Dólares corrientes)</t>
  </si>
  <si>
    <t xml:space="preserve">Variación de precios del insumo trabajo </t>
  </si>
  <si>
    <t>Precio del insumo capital de la economía</t>
  </si>
  <si>
    <t>IPME a diciembre (base 2013)</t>
  </si>
  <si>
    <t>IPMC a diciembre (base 2013)</t>
  </si>
  <si>
    <t>Tipo de Cambio a diciembre (Soles por USD)</t>
  </si>
  <si>
    <t>a) Precios de maquinaria  y equipo:</t>
  </si>
  <si>
    <t>Variación del índice de precios de maquinaria  y equipo</t>
  </si>
  <si>
    <t>Part. % de Maquinaria y Equipo</t>
  </si>
  <si>
    <t>b) Precios de materiales de construcción:</t>
  </si>
  <si>
    <t>Variación del índice de precios de materiales de construcción</t>
  </si>
  <si>
    <t>Part. % de Materiales de Construcción</t>
  </si>
  <si>
    <t>Variación media de precios del insumo capital</t>
  </si>
  <si>
    <t>Precio de los insumos de la economía</t>
  </si>
  <si>
    <t>Part. % del insumo trabajo</t>
  </si>
  <si>
    <t>Variación de precios del insumo capital</t>
  </si>
  <si>
    <t>Part. % del insumo capital</t>
  </si>
  <si>
    <t>Variación de precios de insumos de la economía</t>
  </si>
  <si>
    <t>Tipo de Cambio (Base 2013)</t>
  </si>
  <si>
    <t>6.1. Índice de Precios al por Mayor (IPM)</t>
  </si>
  <si>
    <t>IPM (Base 2013)</t>
  </si>
  <si>
    <t>Tipo de Cambio (Soles por USD)</t>
  </si>
  <si>
    <t>IPM ajustado por Tipo de Cambio</t>
  </si>
  <si>
    <t>6.2. Índice de Precios al Consumidor (IPC)</t>
  </si>
  <si>
    <t>IPC (Base 2013)</t>
  </si>
  <si>
    <t>IPC ajustado por Tipo de Cambio</t>
  </si>
  <si>
    <t>IPM (Año 2013=100)</t>
  </si>
  <si>
    <t>IPC (Año 2013=100)</t>
  </si>
  <si>
    <t>6.3. Índice de Precios de Maquinaria y Equipo (IPME)</t>
  </si>
  <si>
    <t>IPME (Base 2013)</t>
  </si>
  <si>
    <t>Revalorización</t>
  </si>
  <si>
    <t>IPME (Año 2013=100)</t>
  </si>
  <si>
    <t>IPME (Año 2013=100) - Inicio del periodo</t>
  </si>
  <si>
    <t>IPME (Año 2013=100) - Final del periodo</t>
  </si>
  <si>
    <t>IPME ajustado TC (Año 2013=100) - Inicio del periodo</t>
  </si>
  <si>
    <t>IPME ajustado TC (Año 2013=100) - Final del periodo</t>
  </si>
  <si>
    <t>Fuente: Instituto Nacional de Estadística e Informática del Perú y Banco Central de Reserva del Perú.</t>
  </si>
  <si>
    <t>Tasa impositiva efectiva</t>
  </si>
  <si>
    <t>Fuente: Superintendencia Nacional de Aduanas y Administración Tributaria - SUNAT.</t>
  </si>
  <si>
    <t>2.1.3. Precios Implícitos (En USD)</t>
  </si>
  <si>
    <t>IPM-TC</t>
  </si>
  <si>
    <t>2.2.3.3. Stock de Capital a fin de año sin activos iniciales (En USD)</t>
  </si>
  <si>
    <t>c) Activos iniciales a diciembre 2014</t>
  </si>
  <si>
    <t>2.2.3.4. Activos Iniciales</t>
  </si>
  <si>
    <t>c) Evolución del stock de activos iniciales</t>
  </si>
  <si>
    <t>Activos Intangibles</t>
  </si>
  <si>
    <t>Activos Iniciales</t>
  </si>
  <si>
    <t>2.2.3.5. Stock de Capital total anual (En USD)</t>
  </si>
  <si>
    <t>2.2.3.6. Stock de Capital total anual deflactado (En USD reales)</t>
  </si>
  <si>
    <t>a) Deflactores</t>
  </si>
  <si>
    <t>IPME</t>
  </si>
  <si>
    <t>b) Stock de capital anual deflactado</t>
  </si>
  <si>
    <t>2.2.3.7. Cantidad de capital (En USD reales)</t>
  </si>
  <si>
    <t>a) Precio de adquisición de capital</t>
  </si>
  <si>
    <t>b) Tasas de depreciación</t>
  </si>
  <si>
    <t>c) Costo del capital</t>
  </si>
  <si>
    <t>d) Tasa efectiva de impuestos</t>
  </si>
  <si>
    <t>Tasa efectiva de impuestos</t>
  </si>
  <si>
    <t>e) Precio de alquiler del capital de la empresa</t>
  </si>
  <si>
    <t>1. Factor de Productividad (Factor X)</t>
  </si>
  <si>
    <t>Diferencia en el Crecimiento en Precios Insumos con la Economía</t>
  </si>
  <si>
    <t>Diferencia</t>
  </si>
  <si>
    <t>Diferencia en el Crecimiento en la PTF con la Economía</t>
  </si>
  <si>
    <t>Factor X</t>
  </si>
  <si>
    <t>Crecimiento en la PTF de la Empresa</t>
  </si>
  <si>
    <t>Crecimiento en la PTF de la Economía</t>
  </si>
  <si>
    <t>Crecimiento en Precios Insumos Economía</t>
  </si>
  <si>
    <t>Crecimiento en Precios Insumos Empresa</t>
  </si>
  <si>
    <t>2.2. Índice de Cantidades de insumos</t>
  </si>
  <si>
    <t>a) Índice de Cantidades de Insumos</t>
  </si>
  <si>
    <t>b) Precio de Insumos</t>
  </si>
  <si>
    <t>b.1) Mano de obra</t>
  </si>
  <si>
    <t>b.2) Productos intermedios (materiales)</t>
  </si>
  <si>
    <t>b.3) Capital</t>
  </si>
  <si>
    <t>c) Cantidad de Insumos</t>
  </si>
  <si>
    <t>c.2) Productos intermedios (materiales)</t>
  </si>
  <si>
    <t>c.1) Mano de obra</t>
  </si>
  <si>
    <t>c.3) Capital</t>
  </si>
  <si>
    <t>Índice de Laspeyres</t>
  </si>
  <si>
    <t>Índice de Paasche</t>
  </si>
  <si>
    <t>Índice de Fisher</t>
  </si>
  <si>
    <t>Crecimiento anual</t>
  </si>
  <si>
    <t>2.1. Índice de Cantidades de productos</t>
  </si>
  <si>
    <t>Índices de Cantidades de Productos</t>
  </si>
  <si>
    <t>Índices de cantidades de Insumos</t>
  </si>
  <si>
    <t>3. Índice de precios de insumos de la empresa</t>
  </si>
  <si>
    <t>a) Índice de Precios de Insumos</t>
  </si>
  <si>
    <t>Promedio desde 2016</t>
  </si>
  <si>
    <t>Asian Terminals Inc.</t>
  </si>
  <si>
    <t>SAAM Puertos S.A.</t>
  </si>
  <si>
    <t>Port of Tauranga Limited</t>
  </si>
  <si>
    <t>Nanjing Port Co Ltd</t>
  </si>
  <si>
    <t>Luka Koper</t>
  </si>
  <si>
    <t>Gujarat Pipavav Port Limited</t>
  </si>
  <si>
    <t>Piraeus Port Authority S.A.</t>
  </si>
  <si>
    <t>b) Tasación de activos iniciales entregados al concesionario (junio de 2014)</t>
  </si>
  <si>
    <t>Soles</t>
  </si>
  <si>
    <t>Tipo de cambio</t>
  </si>
  <si>
    <t>ANEXO N° 01</t>
  </si>
  <si>
    <t>MEDICIÓN NIVELES DE SERVICIO Y PRODUCTIVIDAD PERIODO 2020,2021,2022 Y 2023</t>
  </si>
  <si>
    <t>METODOLOGÍA V1</t>
  </si>
  <si>
    <t>METODOLOGÍA V2</t>
  </si>
  <si>
    <t>METODOLOGÍA V3</t>
  </si>
  <si>
    <t>METODOLOGÍA V4</t>
  </si>
  <si>
    <t>ITEM</t>
  </si>
  <si>
    <t>TIPO DE CARGA</t>
  </si>
  <si>
    <t>MEDICIÓN</t>
  </si>
  <si>
    <t>RENDIMIENTO</t>
  </si>
  <si>
    <t>III-TRI 2015 (Feb-May)</t>
  </si>
  <si>
    <t>IV-TRI 2015 (Jun-Ago)</t>
  </si>
  <si>
    <t>V-TRI 2015 (Set-Nov)</t>
  </si>
  <si>
    <t>VI-TRI 2016 (Dic-Feb)</t>
  </si>
  <si>
    <t>VII-TRI 2016 (Mar-May)</t>
  </si>
  <si>
    <t>VIII-TRI 2016 (Jun-Ago)</t>
  </si>
  <si>
    <t>IX-TRI 2016 (Set-Nov)</t>
  </si>
  <si>
    <t>X-TRI 2017 (Dic-Feb)</t>
  </si>
  <si>
    <t>XI-TRI 2017 (Mar-May)</t>
  </si>
  <si>
    <t>XII-TRI 2017 (Jun-Ago)</t>
  </si>
  <si>
    <t>XIII-TRI 2017 (Set-Nov)</t>
  </si>
  <si>
    <t>XIV-TRI 2018 (Dic-Feb)</t>
  </si>
  <si>
    <t>XV-TRI 2018 (Mar-May)</t>
  </si>
  <si>
    <t>XVI-TRI 2018 (Jun-Ago)</t>
  </si>
  <si>
    <t>XVII-TRI 2018 (Set-Nov)</t>
  </si>
  <si>
    <t>XVIII-TRI 2019 (Dic-Feb)</t>
  </si>
  <si>
    <t>XIX-TRI 2019 (Marz-May)</t>
  </si>
  <si>
    <t>XX-TRI 2019 (Jun-Ago)</t>
  </si>
  <si>
    <t>XXI-TRI 2019 (Set-Nov)</t>
  </si>
  <si>
    <t>XXII-TRI 2020 (Dic-Feb)</t>
  </si>
  <si>
    <t>XXIII-TRI 2020 (Mar-May)</t>
  </si>
  <si>
    <t>XXIV-TRI 2020 (Jun-AGO)</t>
  </si>
  <si>
    <t>XXV-TRI 2020 (Set-Nov)</t>
  </si>
  <si>
    <t>XXVI-TRI 2021 (Dic-Feb)</t>
  </si>
  <si>
    <t>XXVII-TRI 2021 (Mar-May)</t>
  </si>
  <si>
    <t>XXVIII-TRI 2021 (Jun-Ago)</t>
  </si>
  <si>
    <t>XXIX-TRI 2021 (Sep-Nov)</t>
  </si>
  <si>
    <t>XXX-TRI 2022 (Dic-Feb)</t>
  </si>
  <si>
    <t>XXXI-TRI 2022 (Mar-May)</t>
  </si>
  <si>
    <t>XXXII-TRI 2022 (Jun-Ago)</t>
  </si>
  <si>
    <t>XXXIII-TRI 2022 (Set-Nov)</t>
  </si>
  <si>
    <t>XXXIV-TRI 2023 (Dic-Feb)</t>
  </si>
  <si>
    <t>XXXV-TRI 2023 (Mar-May)</t>
  </si>
  <si>
    <t>XXXVI-TRI 2023 (Jun-Ago)</t>
  </si>
  <si>
    <t>XXXVI-TRI 2023 (Set-Nov)</t>
  </si>
  <si>
    <t>a.</t>
  </si>
  <si>
    <t>Granel Liquido</t>
  </si>
  <si>
    <t>Promedio Trimestral</t>
  </si>
  <si>
    <t>140 Toneladas/Hora</t>
  </si>
  <si>
    <t>S/M</t>
  </si>
  <si>
    <t>b.1</t>
  </si>
  <si>
    <t>Sal</t>
  </si>
  <si>
    <t>800 Toneladas/Hora</t>
  </si>
  <si>
    <t>b.</t>
  </si>
  <si>
    <t>400 Toneladas/Hora</t>
  </si>
  <si>
    <t>b.2</t>
  </si>
  <si>
    <t>Granos</t>
  </si>
  <si>
    <t>200 Toneladas/Hora</t>
  </si>
  <si>
    <t>b.3</t>
  </si>
  <si>
    <t>Chatarra</t>
  </si>
  <si>
    <t>b.4</t>
  </si>
  <si>
    <t>Hierro (pellets)</t>
  </si>
  <si>
    <t>c.1</t>
  </si>
  <si>
    <t>Fierro (varillas)</t>
  </si>
  <si>
    <t>150 Toneladas/Hora</t>
  </si>
  <si>
    <t>Fertilizantes</t>
  </si>
  <si>
    <t>c.2</t>
  </si>
  <si>
    <t>Tubos de acero</t>
  </si>
  <si>
    <t>Arrabio</t>
  </si>
  <si>
    <t>360 Toneladas/Hora</t>
  </si>
  <si>
    <t>c.3</t>
  </si>
  <si>
    <t>Fertilizante</t>
  </si>
  <si>
    <t>130 Toneladas/Hora</t>
  </si>
  <si>
    <t>c.4</t>
  </si>
  <si>
    <t>Palanquilla</t>
  </si>
  <si>
    <t>250 Toneladas/Hora</t>
  </si>
  <si>
    <t>c.5</t>
  </si>
  <si>
    <t>Harina de Pescado</t>
  </si>
  <si>
    <t>40 Toneladas/Hora</t>
  </si>
  <si>
    <t>a.1</t>
  </si>
  <si>
    <t>Rodante</t>
  </si>
  <si>
    <t>Livianos</t>
  </si>
  <si>
    <t>80 Unidades/Hora</t>
  </si>
  <si>
    <t>a.2</t>
  </si>
  <si>
    <t>Medianos</t>
  </si>
  <si>
    <t>30 Unidades/Hora</t>
  </si>
  <si>
    <t xml:space="preserve"> 40 Toneladas/Hora</t>
  </si>
  <si>
    <t>a.3</t>
  </si>
  <si>
    <t>Pesados</t>
  </si>
  <si>
    <t>15 Unidades/Hora</t>
  </si>
  <si>
    <t>MEDICIÓN NIVELES DE INDICADORES DE SERVICIOS DE NAVE, CARGA FRACCIONADA, GRANEL  Y CONTENEDORES</t>
  </si>
  <si>
    <t>XXII-TRI 2020 (Mar-May)</t>
  </si>
  <si>
    <t>XXXII-TRI 2022 (Set-Nov)</t>
  </si>
  <si>
    <t>1.1.1.</t>
  </si>
  <si>
    <t>Tiempo para el inicio de Operaciones Comerciales de la Nave</t>
  </si>
  <si>
    <t>20 minutos</t>
  </si>
  <si>
    <t>00:!4</t>
  </si>
  <si>
    <t>Individual</t>
  </si>
  <si>
    <t>30 minutos</t>
  </si>
  <si>
    <t>Cumple</t>
  </si>
  <si>
    <t>No Cumple</t>
  </si>
  <si>
    <t>No cumple</t>
  </si>
  <si>
    <t>1.1.2</t>
  </si>
  <si>
    <t>Tiempo para el desatraque de la nave</t>
  </si>
  <si>
    <t>cumple</t>
  </si>
  <si>
    <t>1.2.1.</t>
  </si>
  <si>
    <t>Tiempo de entrega de carga fraccionada y carga sólida a granel</t>
  </si>
  <si>
    <t>1.3.1</t>
  </si>
  <si>
    <t>Tiempo de recepción de contenedores</t>
  </si>
  <si>
    <t>Cumplen</t>
  </si>
  <si>
    <t>1.3.2</t>
  </si>
  <si>
    <t>Tiempo de entrega del contenedores</t>
  </si>
  <si>
    <t>1.3.3.</t>
  </si>
  <si>
    <t>Tiempo de recepción y entrega continua</t>
  </si>
  <si>
    <t>Granel Líquido</t>
  </si>
  <si>
    <t>Mínimo</t>
  </si>
  <si>
    <t>Promedio variaciones</t>
  </si>
  <si>
    <t>Pesos</t>
  </si>
  <si>
    <t>Ingresos 2015-2023</t>
  </si>
  <si>
    <t>Contenedores</t>
  </si>
  <si>
    <t>Naves</t>
  </si>
  <si>
    <t>Factor Q Total (2015-2023)</t>
  </si>
  <si>
    <t>Factor Q</t>
  </si>
  <si>
    <t>Factor de Productividad</t>
  </si>
  <si>
    <t>Peso</t>
  </si>
  <si>
    <t>Promedio de variaciones 2016-2023</t>
  </si>
  <si>
    <t>Tipo de Cambio (Base 2015)</t>
  </si>
  <si>
    <t>IPME a diciembre (base 2015)</t>
  </si>
  <si>
    <t>IPMC a diciembre (base 2015)</t>
  </si>
  <si>
    <t>IPME a diciembre ajustado por Tipo de Cambio (Base 2015)</t>
  </si>
  <si>
    <t>IPMC a diciembre ajustado por Tipo de Cambio (Base 2015)</t>
  </si>
  <si>
    <t>Marsden Maritime</t>
  </si>
  <si>
    <t>Ingresos (2015-2023)</t>
  </si>
  <si>
    <t>Indicadores</t>
  </si>
  <si>
    <t>Q</t>
  </si>
  <si>
    <t>Variaciones (q)</t>
  </si>
  <si>
    <t xml:space="preserve">Servicios a la carga no contenerizada (Embarque/Descarga) </t>
  </si>
  <si>
    <t>Datos de productividad</t>
  </si>
  <si>
    <t>6.4. Tasa Efectiva de Impuestos</t>
  </si>
  <si>
    <t>2.2.3.9. Precio de alquiler de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</si>
</sst>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3" formatCode="_-* #,##0.00_-;\-* #,##0.00_-;_-* &quot;-&quot;??_-;_-@_-"/>
    <numFmt numFmtId="164" formatCode="_ * #,##0_ ;_ * \-#,##0_ ;_ * &quot;-&quot;??_ ;_ @_ "/>
    <numFmt numFmtId="165" formatCode="_-* #,##0\ _€_-;\-* #,##0\ _€_-;_-* &quot;-&quot;??\ _€_-;_-@_-"/>
    <numFmt numFmtId="166" formatCode="0.0%"/>
    <numFmt numFmtId="167" formatCode="0.000"/>
    <numFmt numFmtId="168" formatCode="#,##0,"/>
    <numFmt numFmtId="169" formatCode="_-* #,##0_-;\-* #,##0_-;_-* &quot;-&quot;??_-;_-@_-"/>
    <numFmt numFmtId="170" formatCode="0.0"/>
    <numFmt numFmtId="171" formatCode="_ * #,##0.00_ ;_ * \-#,##0.00_ ;_ * &quot;-&quot;??_ ;_ @_ "/>
    <numFmt numFmtId="172" formatCode="#,##0.00_ ;\-#,##0.00\ 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ptos Light"/>
      <family val="2"/>
    </font>
    <font>
      <b/>
      <sz val="11"/>
      <name val="Aptos Light"/>
      <family val="2"/>
    </font>
    <font>
      <sz val="11"/>
      <color theme="1"/>
      <name val="Aptos Light"/>
      <family val="2"/>
    </font>
    <font>
      <sz val="11"/>
      <name val="Aptos Light"/>
      <family val="2"/>
    </font>
    <font>
      <i/>
      <sz val="11"/>
      <name val="Aptos Light"/>
      <family val="2"/>
    </font>
    <font>
      <b/>
      <sz val="11"/>
      <color theme="1"/>
      <name val="Aptos Light"/>
      <family val="2"/>
    </font>
    <font>
      <vertAlign val="superscript"/>
      <sz val="11"/>
      <color theme="1"/>
      <name val="Aptos Light"/>
      <family val="2"/>
    </font>
    <font>
      <i/>
      <sz val="11"/>
      <color theme="1"/>
      <name val="Aptos Light"/>
      <family val="2"/>
    </font>
    <font>
      <b/>
      <sz val="11"/>
      <color theme="9" tint="-0.499984740745262"/>
      <name val="Aptos Light"/>
      <family val="2"/>
    </font>
    <font>
      <b/>
      <sz val="11"/>
      <color theme="0"/>
      <name val="Aptos Light"/>
      <family val="2"/>
    </font>
    <font>
      <u/>
      <sz val="11"/>
      <color theme="10"/>
      <name val="Calibri"/>
      <family val="2"/>
      <scheme val="minor"/>
    </font>
    <font>
      <b/>
      <sz val="11"/>
      <color theme="10"/>
      <name val="Aptos Light"/>
      <family val="2"/>
    </font>
    <font>
      <sz val="11"/>
      <color theme="0"/>
      <name val="Aptos Light"/>
      <family val="2"/>
    </font>
    <font>
      <b/>
      <i/>
      <sz val="11"/>
      <color theme="1"/>
      <name val="Aptos Light"/>
      <family val="2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FF0000"/>
      <name val="Aptos Light"/>
      <family val="2"/>
    </font>
    <font>
      <sz val="11"/>
      <name val="Aptos Light"/>
      <family val="2"/>
    </font>
    <font>
      <sz val="11"/>
      <color theme="1"/>
      <name val="DIN Pro Light"/>
      <family val="2"/>
    </font>
    <font>
      <sz val="11"/>
      <color theme="0"/>
      <name val="DIN Pro Light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2A571"/>
        <bgColor indexed="64"/>
      </patternFill>
    </fill>
    <fill>
      <patternFill patternType="solid">
        <fgColor rgb="FFFFFF00"/>
        <bgColor indexed="64"/>
      </patternFill>
    </fill>
    <fill>
      <patternFill patternType="lightUp">
        <bgColor theme="0"/>
      </patternFill>
    </fill>
    <fill>
      <patternFill patternType="solid">
        <fgColor theme="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990000"/>
      </left>
      <right style="thin">
        <color rgb="FF990000"/>
      </right>
      <top style="thin">
        <color rgb="FF990000"/>
      </top>
      <bottom style="thin">
        <color rgb="FF99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990000"/>
      </left>
      <right style="thin">
        <color rgb="FF990000"/>
      </right>
      <top style="thin">
        <color rgb="FF99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990000"/>
      </left>
      <right style="medium">
        <color indexed="64"/>
      </right>
      <top style="thin">
        <color rgb="FF990000"/>
      </top>
      <bottom style="thin">
        <color rgb="FF99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990000"/>
      </left>
      <right style="thin">
        <color rgb="FF990000"/>
      </right>
      <top style="thin">
        <color rgb="FF99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990000"/>
      </left>
      <right style="medium">
        <color indexed="64"/>
      </right>
      <top style="thin">
        <color rgb="FF99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63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5" xfId="4" applyFont="1" applyBorder="1"/>
    <xf numFmtId="0" fontId="5" fillId="0" borderId="6" xfId="4" applyFont="1" applyBorder="1" applyAlignment="1">
      <alignment horizontal="center"/>
    </xf>
    <xf numFmtId="3" fontId="5" fillId="0" borderId="6" xfId="4" applyNumberFormat="1" applyFont="1" applyBorder="1"/>
    <xf numFmtId="3" fontId="5" fillId="0" borderId="7" xfId="4" applyNumberFormat="1" applyFont="1" applyBorder="1"/>
    <xf numFmtId="0" fontId="8" fillId="2" borderId="8" xfId="4" applyFont="1" applyFill="1" applyBorder="1"/>
    <xf numFmtId="0" fontId="5" fillId="0" borderId="0" xfId="4" applyFont="1" applyAlignment="1">
      <alignment horizontal="right"/>
    </xf>
    <xf numFmtId="0" fontId="6" fillId="0" borderId="0" xfId="4" applyFont="1" applyAlignment="1">
      <alignment horizontal="right"/>
    </xf>
    <xf numFmtId="3" fontId="5" fillId="0" borderId="0" xfId="4" applyNumberFormat="1" applyFont="1" applyAlignment="1">
      <alignment horizontal="right"/>
    </xf>
    <xf numFmtId="3" fontId="5" fillId="0" borderId="9" xfId="4" applyNumberFormat="1" applyFont="1" applyBorder="1" applyAlignment="1">
      <alignment horizontal="center"/>
    </xf>
    <xf numFmtId="0" fontId="5" fillId="0" borderId="8" xfId="4" applyFont="1" applyBorder="1" applyAlignment="1">
      <alignment horizontal="left" indent="3"/>
    </xf>
    <xf numFmtId="3" fontId="5" fillId="0" borderId="0" xfId="4" applyNumberFormat="1" applyFont="1" applyAlignment="1">
      <alignment horizontal="center" vertical="center"/>
    </xf>
    <xf numFmtId="3" fontId="6" fillId="0" borderId="0" xfId="4" applyNumberFormat="1" applyFont="1" applyAlignment="1">
      <alignment horizontal="center" vertical="center"/>
    </xf>
    <xf numFmtId="3" fontId="5" fillId="0" borderId="9" xfId="4" applyNumberFormat="1" applyFont="1" applyBorder="1" applyAlignment="1">
      <alignment horizontal="center" vertical="center"/>
    </xf>
    <xf numFmtId="0" fontId="8" fillId="0" borderId="8" xfId="4" applyFont="1" applyBorder="1"/>
    <xf numFmtId="0" fontId="5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5" fillId="2" borderId="8" xfId="4" applyFont="1" applyFill="1" applyBorder="1" applyAlignment="1">
      <alignment horizontal="left" indent="3"/>
    </xf>
    <xf numFmtId="0" fontId="5" fillId="0" borderId="6" xfId="4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0" fontId="5" fillId="0" borderId="6" xfId="4" applyFont="1" applyBorder="1" applyAlignment="1">
      <alignment horizontal="right"/>
    </xf>
    <xf numFmtId="3" fontId="5" fillId="0" borderId="6" xfId="4" applyNumberFormat="1" applyFont="1" applyBorder="1" applyAlignment="1">
      <alignment horizontal="right"/>
    </xf>
    <xf numFmtId="3" fontId="5" fillId="0" borderId="7" xfId="4" applyNumberFormat="1" applyFont="1" applyBorder="1" applyAlignment="1">
      <alignment horizontal="center"/>
    </xf>
    <xf numFmtId="0" fontId="8" fillId="0" borderId="8" xfId="4" applyFont="1" applyBorder="1" applyAlignment="1">
      <alignment horizontal="left"/>
    </xf>
    <xf numFmtId="164" fontId="6" fillId="0" borderId="0" xfId="1" applyNumberFormat="1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center" vertical="center"/>
    </xf>
    <xf numFmtId="3" fontId="5" fillId="0" borderId="6" xfId="4" applyNumberFormat="1" applyFont="1" applyBorder="1" applyAlignment="1">
      <alignment horizontal="center" vertical="center"/>
    </xf>
    <xf numFmtId="3" fontId="6" fillId="0" borderId="6" xfId="4" applyNumberFormat="1" applyFont="1" applyBorder="1" applyAlignment="1">
      <alignment horizontal="center" vertical="center"/>
    </xf>
    <xf numFmtId="0" fontId="5" fillId="0" borderId="10" xfId="4" applyFont="1" applyBorder="1" applyAlignment="1">
      <alignment horizontal="left" indent="3"/>
    </xf>
    <xf numFmtId="3" fontId="5" fillId="0" borderId="11" xfId="4" applyNumberFormat="1" applyFont="1" applyBorder="1" applyAlignment="1">
      <alignment horizontal="center" vertical="center"/>
    </xf>
    <xf numFmtId="3" fontId="6" fillId="0" borderId="11" xfId="4" applyNumberFormat="1" applyFont="1" applyBorder="1" applyAlignment="1">
      <alignment horizontal="center" vertical="center"/>
    </xf>
    <xf numFmtId="3" fontId="5" fillId="0" borderId="12" xfId="4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6" xfId="4" applyFont="1" applyBorder="1" applyAlignment="1">
      <alignment horizontal="center"/>
    </xf>
    <xf numFmtId="0" fontId="8" fillId="2" borderId="0" xfId="4" applyFont="1" applyFill="1" applyAlignment="1">
      <alignment horizontal="center"/>
    </xf>
    <xf numFmtId="0" fontId="5" fillId="0" borderId="0" xfId="4" applyFont="1" applyAlignment="1">
      <alignment horizontal="center"/>
    </xf>
    <xf numFmtId="0" fontId="8" fillId="0" borderId="0" xfId="4" applyFont="1" applyAlignment="1">
      <alignment horizontal="center"/>
    </xf>
    <xf numFmtId="0" fontId="5" fillId="2" borderId="0" xfId="4" applyFont="1" applyFill="1" applyAlignment="1">
      <alignment horizontal="center"/>
    </xf>
    <xf numFmtId="0" fontId="5" fillId="0" borderId="11" xfId="4" applyFont="1" applyBorder="1" applyAlignment="1">
      <alignment horizontal="center"/>
    </xf>
    <xf numFmtId="0" fontId="8" fillId="2" borderId="0" xfId="4" applyFont="1" applyFill="1"/>
    <xf numFmtId="0" fontId="10" fillId="0" borderId="8" xfId="0" applyFont="1" applyBorder="1" applyAlignment="1">
      <alignment horizontal="left" indent="2"/>
    </xf>
    <xf numFmtId="0" fontId="10" fillId="0" borderId="10" xfId="0" applyFont="1" applyBorder="1" applyAlignment="1">
      <alignment horizontal="left" indent="2"/>
    </xf>
    <xf numFmtId="3" fontId="5" fillId="0" borderId="0" xfId="1" applyNumberFormat="1" applyFont="1" applyAlignment="1">
      <alignment horizontal="center" vertical="center"/>
    </xf>
    <xf numFmtId="0" fontId="8" fillId="0" borderId="0" xfId="0" applyFont="1"/>
    <xf numFmtId="3" fontId="5" fillId="0" borderId="0" xfId="0" applyNumberFormat="1" applyFont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0" xfId="1" applyNumberFormat="1" applyFont="1" applyFill="1" applyBorder="1" applyAlignment="1">
      <alignment horizontal="center" vertical="center"/>
    </xf>
    <xf numFmtId="3" fontId="5" fillId="0" borderId="9" xfId="1" applyNumberFormat="1" applyFont="1" applyFill="1" applyBorder="1" applyAlignment="1">
      <alignment horizontal="center" vertical="center"/>
    </xf>
    <xf numFmtId="3" fontId="5" fillId="0" borderId="11" xfId="1" applyNumberFormat="1" applyFont="1" applyFill="1" applyBorder="1" applyAlignment="1">
      <alignment horizontal="center" vertical="center"/>
    </xf>
    <xf numFmtId="3" fontId="5" fillId="0" borderId="12" xfId="1" applyNumberFormat="1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4" fontId="5" fillId="0" borderId="0" xfId="1" applyNumberFormat="1" applyFont="1" applyFill="1" applyBorder="1" applyAlignment="1">
      <alignment horizontal="center" vertical="center"/>
    </xf>
    <xf numFmtId="4" fontId="5" fillId="0" borderId="9" xfId="1" applyNumberFormat="1" applyFont="1" applyFill="1" applyBorder="1" applyAlignment="1">
      <alignment horizontal="center" vertical="center"/>
    </xf>
    <xf numFmtId="4" fontId="5" fillId="0" borderId="11" xfId="1" applyNumberFormat="1" applyFont="1" applyFill="1" applyBorder="1" applyAlignment="1">
      <alignment horizontal="center" vertical="center"/>
    </xf>
    <xf numFmtId="4" fontId="5" fillId="0" borderId="12" xfId="1" applyNumberFormat="1" applyFont="1" applyFill="1" applyBorder="1" applyAlignment="1">
      <alignment horizontal="center" vertical="center"/>
    </xf>
    <xf numFmtId="0" fontId="5" fillId="0" borderId="14" xfId="0" applyFont="1" applyBorder="1"/>
    <xf numFmtId="3" fontId="5" fillId="0" borderId="15" xfId="1" applyNumberFormat="1" applyFont="1" applyBorder="1" applyAlignment="1">
      <alignment horizontal="center" vertical="center"/>
    </xf>
    <xf numFmtId="3" fontId="5" fillId="0" borderId="16" xfId="1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0" fontId="8" fillId="3" borderId="13" xfId="0" applyFont="1" applyFill="1" applyBorder="1" applyAlignment="1">
      <alignment horizontal="left"/>
    </xf>
    <xf numFmtId="0" fontId="5" fillId="0" borderId="6" xfId="0" applyFont="1" applyBorder="1"/>
    <xf numFmtId="0" fontId="5" fillId="0" borderId="7" xfId="0" applyFont="1" applyBorder="1"/>
    <xf numFmtId="0" fontId="8" fillId="2" borderId="5" xfId="4" applyFont="1" applyFill="1" applyBorder="1"/>
    <xf numFmtId="0" fontId="8" fillId="2" borderId="6" xfId="4" applyFont="1" applyFill="1" applyBorder="1"/>
    <xf numFmtId="0" fontId="5" fillId="2" borderId="10" xfId="4" applyFont="1" applyFill="1" applyBorder="1" applyAlignment="1">
      <alignment horizontal="left" indent="3"/>
    </xf>
    <xf numFmtId="165" fontId="5" fillId="0" borderId="0" xfId="1" applyNumberFormat="1" applyFont="1" applyFill="1" applyBorder="1" applyAlignment="1">
      <alignment horizontal="right"/>
    </xf>
    <xf numFmtId="165" fontId="5" fillId="0" borderId="9" xfId="1" applyNumberFormat="1" applyFont="1" applyFill="1" applyBorder="1" applyAlignment="1">
      <alignment horizontal="right"/>
    </xf>
    <xf numFmtId="165" fontId="5" fillId="0" borderId="11" xfId="1" applyNumberFormat="1" applyFont="1" applyFill="1" applyBorder="1" applyAlignment="1">
      <alignment horizontal="right"/>
    </xf>
    <xf numFmtId="165" fontId="5" fillId="0" borderId="12" xfId="1" applyNumberFormat="1" applyFont="1" applyFill="1" applyBorder="1" applyAlignment="1">
      <alignment horizontal="right"/>
    </xf>
    <xf numFmtId="0" fontId="8" fillId="2" borderId="17" xfId="4" applyFont="1" applyFill="1" applyBorder="1"/>
    <xf numFmtId="0" fontId="11" fillId="0" borderId="0" xfId="0" applyFont="1"/>
    <xf numFmtId="0" fontId="5" fillId="0" borderId="21" xfId="0" applyFont="1" applyBorder="1"/>
    <xf numFmtId="164" fontId="4" fillId="0" borderId="21" xfId="2" applyNumberFormat="1" applyFont="1" applyFill="1" applyBorder="1" applyAlignment="1">
      <alignment horizontal="center"/>
    </xf>
    <xf numFmtId="3" fontId="12" fillId="3" borderId="1" xfId="2" applyNumberFormat="1" applyFont="1" applyFill="1" applyBorder="1" applyAlignment="1">
      <alignment horizontal="center" vertical="center"/>
    </xf>
    <xf numFmtId="1" fontId="12" fillId="3" borderId="3" xfId="3" applyNumberFormat="1" applyFont="1" applyFill="1" applyBorder="1" applyAlignment="1">
      <alignment horizontal="center" vertical="center"/>
    </xf>
    <xf numFmtId="1" fontId="12" fillId="3" borderId="4" xfId="3" applyNumberFormat="1" applyFont="1" applyFill="1" applyBorder="1" applyAlignment="1">
      <alignment horizontal="center" vertical="center"/>
    </xf>
    <xf numFmtId="164" fontId="6" fillId="0" borderId="20" xfId="2" applyNumberFormat="1" applyFont="1" applyFill="1" applyBorder="1" applyAlignment="1">
      <alignment horizontal="right"/>
    </xf>
    <xf numFmtId="164" fontId="6" fillId="0" borderId="0" xfId="2" applyNumberFormat="1" applyFont="1" applyFill="1" applyBorder="1" applyAlignment="1">
      <alignment horizontal="right"/>
    </xf>
    <xf numFmtId="164" fontId="6" fillId="0" borderId="21" xfId="2" applyNumberFormat="1" applyFont="1" applyFill="1" applyBorder="1" applyAlignment="1">
      <alignment horizontal="right"/>
    </xf>
    <xf numFmtId="0" fontId="8" fillId="3" borderId="13" xfId="0" applyFont="1" applyFill="1" applyBorder="1"/>
    <xf numFmtId="0" fontId="4" fillId="0" borderId="22" xfId="3" applyFont="1" applyBorder="1" applyAlignment="1">
      <alignment horizontal="center"/>
    </xf>
    <xf numFmtId="0" fontId="5" fillId="0" borderId="23" xfId="0" applyFont="1" applyBorder="1"/>
    <xf numFmtId="0" fontId="6" fillId="0" borderId="24" xfId="3" applyFont="1" applyBorder="1" applyAlignment="1">
      <alignment horizontal="left" vertical="center"/>
    </xf>
    <xf numFmtId="164" fontId="6" fillId="0" borderId="25" xfId="2" applyNumberFormat="1" applyFont="1" applyFill="1" applyBorder="1" applyAlignment="1">
      <alignment horizontal="right"/>
    </xf>
    <xf numFmtId="0" fontId="6" fillId="0" borderId="8" xfId="3" applyFont="1" applyBorder="1" applyAlignment="1">
      <alignment horizontal="left" vertical="center"/>
    </xf>
    <xf numFmtId="164" fontId="6" fillId="0" borderId="9" xfId="2" applyNumberFormat="1" applyFont="1" applyFill="1" applyBorder="1" applyAlignment="1">
      <alignment horizontal="right"/>
    </xf>
    <xf numFmtId="0" fontId="6" fillId="0" borderId="22" xfId="3" applyFont="1" applyBorder="1" applyAlignment="1">
      <alignment horizontal="left" vertical="center"/>
    </xf>
    <xf numFmtId="164" fontId="6" fillId="0" borderId="23" xfId="2" applyNumberFormat="1" applyFont="1" applyFill="1" applyBorder="1" applyAlignment="1">
      <alignment horizontal="right"/>
    </xf>
    <xf numFmtId="164" fontId="4" fillId="0" borderId="23" xfId="2" applyNumberFormat="1" applyFont="1" applyFill="1" applyBorder="1" applyAlignment="1">
      <alignment horizontal="center"/>
    </xf>
    <xf numFmtId="0" fontId="6" fillId="0" borderId="10" xfId="3" applyFont="1" applyBorder="1" applyAlignment="1">
      <alignment horizontal="left" vertical="center"/>
    </xf>
    <xf numFmtId="164" fontId="6" fillId="0" borderId="11" xfId="2" applyNumberFormat="1" applyFont="1" applyFill="1" applyBorder="1" applyAlignment="1">
      <alignment horizontal="right"/>
    </xf>
    <xf numFmtId="164" fontId="6" fillId="0" borderId="12" xfId="2" applyNumberFormat="1" applyFont="1" applyFill="1" applyBorder="1" applyAlignment="1">
      <alignment horizontal="right"/>
    </xf>
    <xf numFmtId="0" fontId="14" fillId="0" borderId="0" xfId="6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 vertical="center"/>
    </xf>
    <xf numFmtId="10" fontId="8" fillId="0" borderId="0" xfId="1" applyNumberFormat="1" applyFont="1" applyBorder="1" applyAlignment="1">
      <alignment horizontal="center" vertical="center"/>
    </xf>
    <xf numFmtId="166" fontId="5" fillId="0" borderId="0" xfId="5" applyNumberFormat="1" applyFont="1" applyBorder="1" applyAlignment="1">
      <alignment horizontal="center" vertical="center"/>
    </xf>
    <xf numFmtId="43" fontId="5" fillId="0" borderId="0" xfId="1" applyFont="1"/>
    <xf numFmtId="0" fontId="12" fillId="3" borderId="21" xfId="0" applyFont="1" applyFill="1" applyBorder="1" applyAlignment="1">
      <alignment horizontal="center" vertical="center"/>
    </xf>
    <xf numFmtId="10" fontId="5" fillId="0" borderId="0" xfId="5" applyNumberFormat="1" applyFont="1"/>
    <xf numFmtId="10" fontId="5" fillId="0" borderId="0" xfId="5" applyNumberFormat="1" applyFont="1" applyBorder="1"/>
    <xf numFmtId="0" fontId="10" fillId="0" borderId="0" xfId="0" applyFont="1"/>
    <xf numFmtId="2" fontId="5" fillId="0" borderId="0" xfId="0" applyNumberFormat="1" applyFont="1"/>
    <xf numFmtId="9" fontId="5" fillId="0" borderId="20" xfId="5" applyFont="1" applyFill="1" applyBorder="1" applyAlignment="1">
      <alignment horizontal="center" vertical="center"/>
    </xf>
    <xf numFmtId="9" fontId="5" fillId="0" borderId="0" xfId="5" applyFont="1" applyFill="1" applyBorder="1" applyAlignment="1">
      <alignment horizontal="center" vertical="center"/>
    </xf>
    <xf numFmtId="9" fontId="6" fillId="0" borderId="0" xfId="5" applyFont="1" applyFill="1" applyBorder="1" applyAlignment="1">
      <alignment horizontal="center" vertical="center"/>
    </xf>
    <xf numFmtId="166" fontId="5" fillId="0" borderId="0" xfId="0" applyNumberFormat="1" applyFont="1"/>
    <xf numFmtId="2" fontId="5" fillId="0" borderId="20" xfId="0" applyNumberFormat="1" applyFont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2" fontId="4" fillId="0" borderId="0" xfId="1" applyNumberFormat="1" applyFont="1" applyBorder="1" applyAlignment="1">
      <alignment horizontal="center" vertical="center"/>
    </xf>
    <xf numFmtId="166" fontId="4" fillId="0" borderId="0" xfId="5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/>
    </xf>
    <xf numFmtId="169" fontId="12" fillId="0" borderId="0" xfId="2" applyNumberFormat="1" applyFont="1" applyFill="1" applyBorder="1" applyAlignment="1">
      <alignment horizontal="center"/>
    </xf>
    <xf numFmtId="2" fontId="8" fillId="0" borderId="6" xfId="0" applyNumberFormat="1" applyFont="1" applyBorder="1" applyAlignment="1">
      <alignment horizontal="center" vertical="center"/>
    </xf>
    <xf numFmtId="3" fontId="12" fillId="3" borderId="2" xfId="2" applyNumberFormat="1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left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13" xfId="3" applyFont="1" applyFill="1" applyBorder="1" applyAlignment="1">
      <alignment horizontal="center"/>
    </xf>
    <xf numFmtId="3" fontId="12" fillId="3" borderId="4" xfId="2" applyNumberFormat="1" applyFont="1" applyFill="1" applyBorder="1" applyAlignment="1">
      <alignment horizontal="center" vertical="center"/>
    </xf>
    <xf numFmtId="10" fontId="6" fillId="0" borderId="25" xfId="5" applyNumberFormat="1" applyFont="1" applyFill="1" applyBorder="1" applyAlignment="1">
      <alignment horizontal="center"/>
    </xf>
    <xf numFmtId="10" fontId="6" fillId="0" borderId="9" xfId="5" applyNumberFormat="1" applyFont="1" applyFill="1" applyBorder="1" applyAlignment="1">
      <alignment horizontal="center"/>
    </xf>
    <xf numFmtId="10" fontId="6" fillId="0" borderId="23" xfId="5" applyNumberFormat="1" applyFont="1" applyFill="1" applyBorder="1" applyAlignment="1">
      <alignment horizontal="center"/>
    </xf>
    <xf numFmtId="10" fontId="6" fillId="0" borderId="12" xfId="5" applyNumberFormat="1" applyFont="1" applyFill="1" applyBorder="1" applyAlignment="1">
      <alignment horizontal="center"/>
    </xf>
    <xf numFmtId="10" fontId="5" fillId="0" borderId="0" xfId="5" applyNumberFormat="1" applyFont="1" applyBorder="1" applyAlignment="1">
      <alignment horizontal="center"/>
    </xf>
    <xf numFmtId="4" fontId="6" fillId="0" borderId="0" xfId="1" applyNumberFormat="1" applyFont="1" applyBorder="1" applyAlignment="1">
      <alignment horizontal="center" vertical="center"/>
    </xf>
    <xf numFmtId="37" fontId="6" fillId="0" borderId="20" xfId="1" applyNumberFormat="1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vertical="center"/>
    </xf>
    <xf numFmtId="0" fontId="12" fillId="3" borderId="26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1" fontId="5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169" fontId="12" fillId="0" borderId="8" xfId="2" applyNumberFormat="1" applyFont="1" applyFill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12" fillId="3" borderId="5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10" fontId="5" fillId="0" borderId="0" xfId="5" applyNumberFormat="1" applyFont="1" applyBorder="1" applyAlignment="1">
      <alignment horizontal="center" vertical="center" wrapText="1"/>
    </xf>
    <xf numFmtId="10" fontId="5" fillId="0" borderId="9" xfId="5" applyNumberFormat="1" applyFont="1" applyBorder="1" applyAlignment="1">
      <alignment horizontal="center"/>
    </xf>
    <xf numFmtId="168" fontId="4" fillId="0" borderId="6" xfId="2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left"/>
    </xf>
    <xf numFmtId="10" fontId="4" fillId="0" borderId="11" xfId="5" applyNumberFormat="1" applyFont="1" applyFill="1" applyBorder="1" applyAlignment="1">
      <alignment horizontal="center" wrapText="1"/>
    </xf>
    <xf numFmtId="0" fontId="5" fillId="0" borderId="22" xfId="0" applyFont="1" applyBorder="1" applyAlignment="1">
      <alignment horizontal="left" vertical="center"/>
    </xf>
    <xf numFmtId="10" fontId="5" fillId="0" borderId="21" xfId="5" applyNumberFormat="1" applyFont="1" applyBorder="1" applyAlignment="1">
      <alignment horizontal="center" vertical="center" wrapText="1"/>
    </xf>
    <xf numFmtId="10" fontId="5" fillId="0" borderId="21" xfId="5" applyNumberFormat="1" applyFont="1" applyBorder="1" applyAlignment="1">
      <alignment horizont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37" fontId="6" fillId="0" borderId="0" xfId="1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69" fontId="6" fillId="0" borderId="0" xfId="1" applyNumberFormat="1" applyFont="1" applyBorder="1" applyAlignment="1">
      <alignment horizontal="center" vertical="center"/>
    </xf>
    <xf numFmtId="169" fontId="6" fillId="0" borderId="9" xfId="1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2" fontId="4" fillId="0" borderId="9" xfId="1" applyNumberFormat="1" applyFont="1" applyBorder="1" applyAlignment="1">
      <alignment horizontal="center" vertical="center"/>
    </xf>
    <xf numFmtId="166" fontId="4" fillId="0" borderId="9" xfId="5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166" fontId="4" fillId="0" borderId="11" xfId="5" applyNumberFormat="1" applyFont="1" applyBorder="1" applyAlignment="1">
      <alignment horizontal="center" vertical="center"/>
    </xf>
    <xf numFmtId="166" fontId="4" fillId="0" borderId="12" xfId="5" applyNumberFormat="1" applyFont="1" applyBorder="1" applyAlignment="1">
      <alignment horizontal="center" vertical="center"/>
    </xf>
    <xf numFmtId="168" fontId="5" fillId="0" borderId="0" xfId="0" applyNumberFormat="1" applyFont="1" applyAlignment="1">
      <alignment horizontal="center" vertical="center" wrapText="1"/>
    </xf>
    <xf numFmtId="168" fontId="5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12" fillId="3" borderId="13" xfId="0" applyFont="1" applyFill="1" applyBorder="1" applyAlignment="1">
      <alignment horizontal="center"/>
    </xf>
    <xf numFmtId="0" fontId="5" fillId="0" borderId="9" xfId="0" applyFont="1" applyBorder="1"/>
    <xf numFmtId="0" fontId="5" fillId="0" borderId="8" xfId="0" applyFont="1" applyBorder="1"/>
    <xf numFmtId="2" fontId="5" fillId="0" borderId="0" xfId="0" applyNumberFormat="1" applyFont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12" fillId="3" borderId="14" xfId="0" applyFont="1" applyFill="1" applyBorder="1"/>
    <xf numFmtId="2" fontId="12" fillId="3" borderId="15" xfId="0" applyNumberFormat="1" applyFont="1" applyFill="1" applyBorder="1" applyAlignment="1">
      <alignment horizontal="center" vertical="center"/>
    </xf>
    <xf numFmtId="2" fontId="12" fillId="3" borderId="16" xfId="0" applyNumberFormat="1" applyFont="1" applyFill="1" applyBorder="1" applyAlignment="1">
      <alignment horizontal="center" vertical="center"/>
    </xf>
    <xf numFmtId="0" fontId="5" fillId="0" borderId="24" xfId="0" applyFont="1" applyBorder="1"/>
    <xf numFmtId="2" fontId="5" fillId="0" borderId="25" xfId="0" applyNumberFormat="1" applyFont="1" applyBorder="1" applyAlignment="1">
      <alignment horizontal="center" vertical="center"/>
    </xf>
    <xf numFmtId="0" fontId="5" fillId="0" borderId="10" xfId="0" applyFont="1" applyBorder="1"/>
    <xf numFmtId="9" fontId="5" fillId="0" borderId="25" xfId="5" applyFont="1" applyFill="1" applyBorder="1" applyAlignment="1">
      <alignment horizontal="center" vertical="center"/>
    </xf>
    <xf numFmtId="9" fontId="5" fillId="0" borderId="9" xfId="5" applyFont="1" applyFill="1" applyBorder="1" applyAlignment="1">
      <alignment horizontal="center" vertical="center"/>
    </xf>
    <xf numFmtId="9" fontId="6" fillId="0" borderId="9" xfId="5" applyFont="1" applyFill="1" applyBorder="1" applyAlignment="1">
      <alignment horizontal="center" vertical="center"/>
    </xf>
    <xf numFmtId="0" fontId="6" fillId="0" borderId="8" xfId="0" applyFont="1" applyBorder="1"/>
    <xf numFmtId="4" fontId="5" fillId="0" borderId="0" xfId="0" applyNumberFormat="1" applyFont="1" applyAlignment="1">
      <alignment horizontal="center"/>
    </xf>
    <xf numFmtId="4" fontId="5" fillId="0" borderId="9" xfId="0" applyNumberFormat="1" applyFont="1" applyBorder="1" applyAlignment="1">
      <alignment horizontal="center"/>
    </xf>
    <xf numFmtId="0" fontId="4" fillId="0" borderId="17" xfId="0" applyFont="1" applyBorder="1"/>
    <xf numFmtId="10" fontId="4" fillId="0" borderId="18" xfId="5" applyNumberFormat="1" applyFont="1" applyFill="1" applyBorder="1" applyAlignment="1">
      <alignment horizontal="center" vertical="center"/>
    </xf>
    <xf numFmtId="10" fontId="4" fillId="0" borderId="19" xfId="5" applyNumberFormat="1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0" fontId="5" fillId="5" borderId="0" xfId="5" applyNumberFormat="1" applyFont="1" applyFill="1" applyBorder="1" applyAlignment="1">
      <alignment horizontal="center"/>
    </xf>
    <xf numFmtId="0" fontId="8" fillId="0" borderId="17" xfId="0" applyFont="1" applyBorder="1"/>
    <xf numFmtId="10" fontId="8" fillId="0" borderId="18" xfId="5" applyNumberFormat="1" applyFont="1" applyBorder="1" applyAlignment="1">
      <alignment horizontal="center"/>
    </xf>
    <xf numFmtId="10" fontId="8" fillId="0" borderId="19" xfId="5" applyNumberFormat="1" applyFont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3" borderId="26" xfId="0" applyFont="1" applyFill="1" applyBorder="1" applyAlignment="1">
      <alignment horizontal="center"/>
    </xf>
    <xf numFmtId="0" fontId="12" fillId="3" borderId="22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10" fontId="5" fillId="5" borderId="0" xfId="5" applyNumberFormat="1" applyFont="1" applyFill="1" applyBorder="1"/>
    <xf numFmtId="10" fontId="5" fillId="0" borderId="9" xfId="5" applyNumberFormat="1" applyFont="1" applyBorder="1"/>
    <xf numFmtId="0" fontId="12" fillId="3" borderId="13" xfId="0" applyFont="1" applyFill="1" applyBorder="1"/>
    <xf numFmtId="10" fontId="5" fillId="0" borderId="0" xfId="0" applyNumberFormat="1" applyFont="1" applyAlignment="1">
      <alignment horizontal="center" vertical="center"/>
    </xf>
    <xf numFmtId="10" fontId="5" fillId="0" borderId="9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8" xfId="0" applyFont="1" applyBorder="1"/>
    <xf numFmtId="10" fontId="8" fillId="0" borderId="9" xfId="1" applyNumberFormat="1" applyFont="1" applyBorder="1" applyAlignment="1">
      <alignment horizontal="center" vertical="center"/>
    </xf>
    <xf numFmtId="166" fontId="5" fillId="0" borderId="9" xfId="5" applyNumberFormat="1" applyFont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12" fillId="3" borderId="18" xfId="5" applyNumberFormat="1" applyFont="1" applyFill="1" applyBorder="1" applyAlignment="1">
      <alignment horizontal="center" vertical="center"/>
    </xf>
    <xf numFmtId="10" fontId="12" fillId="3" borderId="19" xfId="5" applyNumberFormat="1" applyFont="1" applyFill="1" applyBorder="1" applyAlignment="1">
      <alignment horizontal="center" vertical="center"/>
    </xf>
    <xf numFmtId="2" fontId="5" fillId="0" borderId="0" xfId="1" applyNumberFormat="1" applyFont="1" applyFill="1" applyBorder="1" applyAlignment="1">
      <alignment horizontal="center" vertical="center"/>
    </xf>
    <xf numFmtId="2" fontId="5" fillId="0" borderId="9" xfId="1" applyNumberFormat="1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left" indent="2"/>
    </xf>
    <xf numFmtId="2" fontId="5" fillId="6" borderId="0" xfId="0" applyNumberFormat="1" applyFont="1" applyFill="1" applyAlignment="1">
      <alignment horizontal="center" vertical="center"/>
    </xf>
    <xf numFmtId="2" fontId="6" fillId="6" borderId="0" xfId="0" applyNumberFormat="1" applyFont="1" applyFill="1" applyAlignment="1">
      <alignment horizontal="center" vertical="center"/>
    </xf>
    <xf numFmtId="2" fontId="6" fillId="6" borderId="9" xfId="0" applyNumberFormat="1" applyFont="1" applyFill="1" applyBorder="1" applyAlignment="1">
      <alignment horizontal="center" vertical="center"/>
    </xf>
    <xf numFmtId="9" fontId="5" fillId="6" borderId="0" xfId="0" applyNumberFormat="1" applyFont="1" applyFill="1" applyAlignment="1">
      <alignment horizontal="center" vertical="center"/>
    </xf>
    <xf numFmtId="10" fontId="5" fillId="6" borderId="0" xfId="0" applyNumberFormat="1" applyFont="1" applyFill="1" applyAlignment="1">
      <alignment horizontal="center" vertical="center"/>
    </xf>
    <xf numFmtId="10" fontId="6" fillId="6" borderId="0" xfId="0" applyNumberFormat="1" applyFont="1" applyFill="1" applyAlignment="1">
      <alignment horizontal="center" vertical="center"/>
    </xf>
    <xf numFmtId="10" fontId="6" fillId="6" borderId="9" xfId="0" applyNumberFormat="1" applyFont="1" applyFill="1" applyBorder="1" applyAlignment="1">
      <alignment horizontal="center" vertical="center"/>
    </xf>
    <xf numFmtId="9" fontId="5" fillId="6" borderId="9" xfId="0" applyNumberFormat="1" applyFont="1" applyFill="1" applyBorder="1" applyAlignment="1">
      <alignment horizontal="center" vertical="center"/>
    </xf>
    <xf numFmtId="37" fontId="5" fillId="6" borderId="0" xfId="1" applyNumberFormat="1" applyFont="1" applyFill="1" applyBorder="1" applyAlignment="1">
      <alignment horizontal="center" vertical="center"/>
    </xf>
    <xf numFmtId="37" fontId="5" fillId="6" borderId="9" xfId="1" applyNumberFormat="1" applyFont="1" applyFill="1" applyBorder="1" applyAlignment="1">
      <alignment horizontal="center" vertical="center"/>
    </xf>
    <xf numFmtId="170" fontId="5" fillId="0" borderId="0" xfId="0" applyNumberFormat="1" applyFont="1"/>
    <xf numFmtId="9" fontId="5" fillId="0" borderId="0" xfId="0" applyNumberFormat="1" applyFont="1"/>
    <xf numFmtId="0" fontId="5" fillId="0" borderId="17" xfId="0" applyFont="1" applyBorder="1"/>
    <xf numFmtId="166" fontId="5" fillId="0" borderId="18" xfId="5" applyNumberFormat="1" applyFont="1" applyBorder="1"/>
    <xf numFmtId="166" fontId="5" fillId="0" borderId="19" xfId="5" applyNumberFormat="1" applyFont="1" applyBorder="1"/>
    <xf numFmtId="0" fontId="6" fillId="0" borderId="0" xfId="0" applyFont="1" applyAlignment="1">
      <alignment wrapText="1"/>
    </xf>
    <xf numFmtId="0" fontId="4" fillId="0" borderId="0" xfId="6" applyFont="1" applyFill="1" applyBorder="1" applyAlignment="1">
      <alignment horizontal="center"/>
    </xf>
    <xf numFmtId="0" fontId="4" fillId="0" borderId="0" xfId="0" applyFont="1" applyAlignment="1">
      <alignment wrapText="1"/>
    </xf>
    <xf numFmtId="4" fontId="6" fillId="0" borderId="0" xfId="5" applyNumberFormat="1" applyFont="1" applyFill="1" applyBorder="1" applyAlignment="1">
      <alignment horizontal="center" vertical="center" wrapText="1"/>
    </xf>
    <xf numFmtId="4" fontId="6" fillId="0" borderId="0" xfId="5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2" fontId="6" fillId="0" borderId="0" xfId="1" applyNumberFormat="1" applyFont="1" applyBorder="1" applyAlignment="1">
      <alignment horizontal="center"/>
    </xf>
    <xf numFmtId="2" fontId="6" fillId="0" borderId="21" xfId="1" applyNumberFormat="1" applyFont="1" applyBorder="1" applyAlignment="1">
      <alignment horizontal="center"/>
    </xf>
    <xf numFmtId="10" fontId="6" fillId="0" borderId="0" xfId="5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Border="1" applyAlignment="1">
      <alignment horizontal="center" vertical="center" wrapText="1"/>
    </xf>
    <xf numFmtId="167" fontId="6" fillId="0" borderId="0" xfId="5" applyNumberFormat="1" applyFont="1" applyFill="1" applyBorder="1" applyAlignment="1">
      <alignment horizontal="center" vertical="center" wrapText="1"/>
    </xf>
    <xf numFmtId="10" fontId="4" fillId="0" borderId="0" xfId="5" applyNumberFormat="1" applyFont="1" applyFill="1" applyBorder="1" applyAlignment="1">
      <alignment horizontal="center" vertical="center" wrapText="1"/>
    </xf>
    <xf numFmtId="0" fontId="15" fillId="3" borderId="13" xfId="0" applyFont="1" applyFill="1" applyBorder="1"/>
    <xf numFmtId="0" fontId="4" fillId="0" borderId="14" xfId="0" applyFont="1" applyBorder="1" applyAlignment="1">
      <alignment wrapText="1"/>
    </xf>
    <xf numFmtId="0" fontId="6" fillId="0" borderId="8" xfId="0" applyFont="1" applyBorder="1" applyAlignment="1">
      <alignment vertical="center" wrapText="1"/>
    </xf>
    <xf numFmtId="10" fontId="6" fillId="0" borderId="0" xfId="0" applyNumberFormat="1" applyFont="1" applyAlignment="1">
      <alignment horizontal="center" vertical="center" wrapText="1"/>
    </xf>
    <xf numFmtId="10" fontId="6" fillId="0" borderId="9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166" fontId="6" fillId="0" borderId="9" xfId="5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67" fontId="6" fillId="0" borderId="9" xfId="5" applyNumberFormat="1" applyFont="1" applyFill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10" fontId="4" fillId="0" borderId="18" xfId="5" applyNumberFormat="1" applyFont="1" applyFill="1" applyBorder="1" applyAlignment="1">
      <alignment horizontal="center" vertical="center" wrapText="1"/>
    </xf>
    <xf numFmtId="10" fontId="4" fillId="0" borderId="19" xfId="5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2" fontId="6" fillId="0" borderId="9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10" fontId="6" fillId="0" borderId="9" xfId="5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10" fontId="4" fillId="0" borderId="18" xfId="5" applyNumberFormat="1" applyFont="1" applyBorder="1" applyAlignment="1">
      <alignment horizontal="center" vertical="center" wrapText="1"/>
    </xf>
    <xf numFmtId="10" fontId="4" fillId="0" borderId="19" xfId="5" applyNumberFormat="1" applyFont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left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4" fontId="6" fillId="0" borderId="9" xfId="5" applyNumberFormat="1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wrapText="1"/>
    </xf>
    <xf numFmtId="0" fontId="12" fillId="3" borderId="3" xfId="0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 wrapText="1"/>
    </xf>
    <xf numFmtId="10" fontId="4" fillId="0" borderId="16" xfId="0" applyNumberFormat="1" applyFont="1" applyBorder="1" applyAlignment="1">
      <alignment wrapText="1"/>
    </xf>
    <xf numFmtId="0" fontId="8" fillId="0" borderId="14" xfId="0" applyFont="1" applyBorder="1"/>
    <xf numFmtId="10" fontId="8" fillId="0" borderId="16" xfId="0" applyNumberFormat="1" applyFont="1" applyBorder="1"/>
    <xf numFmtId="166" fontId="5" fillId="0" borderId="0" xfId="5" applyNumberFormat="1" applyFont="1"/>
    <xf numFmtId="43" fontId="5" fillId="0" borderId="20" xfId="1" applyFont="1" applyFill="1" applyBorder="1"/>
    <xf numFmtId="43" fontId="5" fillId="0" borderId="20" xfId="1" applyFont="1" applyBorder="1"/>
    <xf numFmtId="43" fontId="6" fillId="0" borderId="20" xfId="1" applyFont="1" applyBorder="1"/>
    <xf numFmtId="0" fontId="15" fillId="3" borderId="13" xfId="0" applyFont="1" applyFill="1" applyBorder="1" applyAlignment="1">
      <alignment horizontal="center"/>
    </xf>
    <xf numFmtId="43" fontId="5" fillId="0" borderId="11" xfId="1" applyFont="1" applyBorder="1"/>
    <xf numFmtId="43" fontId="5" fillId="2" borderId="25" xfId="2" applyFont="1" applyFill="1" applyBorder="1"/>
    <xf numFmtId="171" fontId="5" fillId="0" borderId="18" xfId="0" applyNumberFormat="1" applyFont="1" applyBorder="1"/>
    <xf numFmtId="171" fontId="5" fillId="0" borderId="19" xfId="0" applyNumberFormat="1" applyFont="1" applyBorder="1"/>
    <xf numFmtId="171" fontId="5" fillId="0" borderId="0" xfId="0" applyNumberFormat="1" applyFont="1"/>
    <xf numFmtId="171" fontId="5" fillId="0" borderId="20" xfId="0" applyNumberFormat="1" applyFont="1" applyBorder="1"/>
    <xf numFmtId="171" fontId="6" fillId="0" borderId="20" xfId="0" applyNumberFormat="1" applyFont="1" applyBorder="1"/>
    <xf numFmtId="171" fontId="6" fillId="0" borderId="25" xfId="0" applyNumberFormat="1" applyFont="1" applyBorder="1"/>
    <xf numFmtId="171" fontId="6" fillId="0" borderId="0" xfId="0" applyNumberFormat="1" applyFont="1"/>
    <xf numFmtId="171" fontId="6" fillId="0" borderId="9" xfId="0" applyNumberFormat="1" applyFont="1" applyBorder="1"/>
    <xf numFmtId="10" fontId="5" fillId="0" borderId="11" xfId="5" applyNumberFormat="1" applyFont="1" applyBorder="1"/>
    <xf numFmtId="10" fontId="6" fillId="0" borderId="11" xfId="5" applyNumberFormat="1" applyFont="1" applyBorder="1"/>
    <xf numFmtId="10" fontId="6" fillId="0" borderId="12" xfId="5" applyNumberFormat="1" applyFont="1" applyBorder="1"/>
    <xf numFmtId="10" fontId="5" fillId="0" borderId="18" xfId="5" applyNumberFormat="1" applyFont="1" applyFill="1" applyBorder="1"/>
    <xf numFmtId="10" fontId="6" fillId="0" borderId="18" xfId="5" applyNumberFormat="1" applyFont="1" applyFill="1" applyBorder="1"/>
    <xf numFmtId="10" fontId="6" fillId="0" borderId="19" xfId="5" applyNumberFormat="1" applyFont="1" applyFill="1" applyBorder="1"/>
    <xf numFmtId="4" fontId="5" fillId="0" borderId="0" xfId="4" applyNumberFormat="1" applyFont="1" applyAlignment="1">
      <alignment horizontal="center" vertical="center"/>
    </xf>
    <xf numFmtId="4" fontId="5" fillId="0" borderId="9" xfId="4" applyNumberFormat="1" applyFont="1" applyBorder="1" applyAlignment="1">
      <alignment horizontal="center" vertical="center"/>
    </xf>
    <xf numFmtId="4" fontId="5" fillId="0" borderId="11" xfId="4" applyNumberFormat="1" applyFont="1" applyBorder="1" applyAlignment="1">
      <alignment horizontal="center" vertical="center"/>
    </xf>
    <xf numFmtId="4" fontId="5" fillId="0" borderId="12" xfId="4" applyNumberFormat="1" applyFont="1" applyBorder="1" applyAlignment="1">
      <alignment horizontal="center" vertical="center"/>
    </xf>
    <xf numFmtId="0" fontId="5" fillId="2" borderId="17" xfId="4" applyFont="1" applyFill="1" applyBorder="1"/>
    <xf numFmtId="2" fontId="5" fillId="2" borderId="18" xfId="4" applyNumberFormat="1" applyFont="1" applyFill="1" applyBorder="1" applyAlignment="1">
      <alignment horizontal="center"/>
    </xf>
    <xf numFmtId="2" fontId="5" fillId="2" borderId="19" xfId="4" applyNumberFormat="1" applyFont="1" applyFill="1" applyBorder="1" applyAlignment="1">
      <alignment horizontal="center"/>
    </xf>
    <xf numFmtId="0" fontId="12" fillId="3" borderId="3" xfId="3" applyFont="1" applyFill="1" applyBorder="1" applyAlignment="1">
      <alignment horizontal="center"/>
    </xf>
    <xf numFmtId="0" fontId="12" fillId="3" borderId="4" xfId="3" applyFont="1" applyFill="1" applyBorder="1" applyAlignment="1">
      <alignment horizontal="center"/>
    </xf>
    <xf numFmtId="164" fontId="5" fillId="0" borderId="0" xfId="0" applyNumberFormat="1" applyFont="1"/>
    <xf numFmtId="0" fontId="8" fillId="3" borderId="13" xfId="0" applyFont="1" applyFill="1" applyBorder="1" applyAlignment="1">
      <alignment horizontal="center"/>
    </xf>
    <xf numFmtId="164" fontId="8" fillId="3" borderId="4" xfId="1" applyNumberFormat="1" applyFont="1" applyFill="1" applyBorder="1" applyAlignment="1">
      <alignment horizontal="center"/>
    </xf>
    <xf numFmtId="0" fontId="5" fillId="0" borderId="22" xfId="0" applyFont="1" applyBorder="1"/>
    <xf numFmtId="0" fontId="8" fillId="3" borderId="1" xfId="0" applyFont="1" applyFill="1" applyBorder="1" applyAlignment="1">
      <alignment horizontal="left"/>
    </xf>
    <xf numFmtId="0" fontId="8" fillId="3" borderId="26" xfId="0" applyFont="1" applyFill="1" applyBorder="1" applyAlignment="1">
      <alignment horizontal="center"/>
    </xf>
    <xf numFmtId="9" fontId="5" fillId="0" borderId="9" xfId="0" applyNumberFormat="1" applyFont="1" applyBorder="1" applyAlignment="1">
      <alignment horizontal="center"/>
    </xf>
    <xf numFmtId="9" fontId="5" fillId="0" borderId="12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37" fontId="5" fillId="0" borderId="25" xfId="1" applyNumberFormat="1" applyFont="1" applyFill="1" applyBorder="1" applyAlignment="1">
      <alignment horizontal="center"/>
    </xf>
    <xf numFmtId="37" fontId="5" fillId="0" borderId="9" xfId="1" applyNumberFormat="1" applyFont="1" applyFill="1" applyBorder="1" applyAlignment="1">
      <alignment horizontal="center"/>
    </xf>
    <xf numFmtId="37" fontId="5" fillId="0" borderId="23" xfId="1" applyNumberFormat="1" applyFont="1" applyFill="1" applyBorder="1" applyAlignment="1">
      <alignment horizontal="center"/>
    </xf>
    <xf numFmtId="37" fontId="8" fillId="0" borderId="19" xfId="0" applyNumberFormat="1" applyFont="1" applyBorder="1" applyAlignment="1">
      <alignment horizontal="center"/>
    </xf>
    <xf numFmtId="37" fontId="5" fillId="0" borderId="12" xfId="1" applyNumberFormat="1" applyFont="1" applyFill="1" applyBorder="1" applyAlignment="1">
      <alignment horizontal="center"/>
    </xf>
    <xf numFmtId="37" fontId="5" fillId="0" borderId="0" xfId="0" applyNumberFormat="1" applyFont="1" applyAlignment="1">
      <alignment horizontal="center"/>
    </xf>
    <xf numFmtId="37" fontId="5" fillId="0" borderId="9" xfId="0" applyNumberFormat="1" applyFont="1" applyBorder="1" applyAlignment="1">
      <alignment horizontal="center"/>
    </xf>
    <xf numFmtId="37" fontId="5" fillId="0" borderId="11" xfId="0" applyNumberFormat="1" applyFont="1" applyBorder="1" applyAlignment="1">
      <alignment horizontal="center"/>
    </xf>
    <xf numFmtId="37" fontId="5" fillId="0" borderId="12" xfId="0" applyNumberFormat="1" applyFont="1" applyBorder="1" applyAlignment="1">
      <alignment horizontal="center"/>
    </xf>
    <xf numFmtId="10" fontId="4" fillId="0" borderId="23" xfId="2" applyNumberFormat="1" applyFont="1" applyFill="1" applyBorder="1" applyAlignment="1">
      <alignment horizontal="center"/>
    </xf>
    <xf numFmtId="10" fontId="5" fillId="0" borderId="9" xfId="0" applyNumberFormat="1" applyFont="1" applyBorder="1" applyAlignment="1">
      <alignment horizontal="center"/>
    </xf>
    <xf numFmtId="10" fontId="5" fillId="0" borderId="12" xfId="0" applyNumberFormat="1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164" fontId="6" fillId="0" borderId="0" xfId="2" applyNumberFormat="1" applyFont="1" applyFill="1" applyBorder="1" applyAlignment="1">
      <alignment horizontal="center"/>
    </xf>
    <xf numFmtId="164" fontId="6" fillId="0" borderId="21" xfId="2" applyNumberFormat="1" applyFont="1" applyFill="1" applyBorder="1" applyAlignment="1">
      <alignment horizontal="center"/>
    </xf>
    <xf numFmtId="164" fontId="6" fillId="0" borderId="20" xfId="2" applyNumberFormat="1" applyFont="1" applyFill="1" applyBorder="1" applyAlignment="1">
      <alignment horizontal="center"/>
    </xf>
    <xf numFmtId="164" fontId="6" fillId="0" borderId="11" xfId="2" applyNumberFormat="1" applyFont="1" applyFill="1" applyBorder="1" applyAlignment="1">
      <alignment horizontal="center"/>
    </xf>
    <xf numFmtId="39" fontId="6" fillId="0" borderId="20" xfId="2" applyNumberFormat="1" applyFont="1" applyFill="1" applyBorder="1" applyAlignment="1">
      <alignment horizontal="center"/>
    </xf>
    <xf numFmtId="39" fontId="6" fillId="0" borderId="25" xfId="2" applyNumberFormat="1" applyFont="1" applyFill="1" applyBorder="1" applyAlignment="1">
      <alignment horizontal="center"/>
    </xf>
    <xf numFmtId="39" fontId="6" fillId="0" borderId="0" xfId="2" applyNumberFormat="1" applyFont="1" applyFill="1" applyBorder="1" applyAlignment="1">
      <alignment horizontal="center"/>
    </xf>
    <xf numFmtId="39" fontId="6" fillId="0" borderId="9" xfId="2" applyNumberFormat="1" applyFont="1" applyFill="1" applyBorder="1" applyAlignment="1">
      <alignment horizontal="center"/>
    </xf>
    <xf numFmtId="39" fontId="6" fillId="0" borderId="21" xfId="2" applyNumberFormat="1" applyFont="1" applyFill="1" applyBorder="1" applyAlignment="1">
      <alignment horizontal="center"/>
    </xf>
    <xf numFmtId="39" fontId="6" fillId="0" borderId="23" xfId="2" applyNumberFormat="1" applyFont="1" applyFill="1" applyBorder="1" applyAlignment="1">
      <alignment horizontal="center"/>
    </xf>
    <xf numFmtId="39" fontId="4" fillId="0" borderId="21" xfId="2" applyNumberFormat="1" applyFont="1" applyFill="1" applyBorder="1" applyAlignment="1">
      <alignment horizontal="center"/>
    </xf>
    <xf numFmtId="39" fontId="4" fillId="0" borderId="23" xfId="2" applyNumberFormat="1" applyFont="1" applyFill="1" applyBorder="1" applyAlignment="1">
      <alignment horizontal="center"/>
    </xf>
    <xf numFmtId="39" fontId="6" fillId="0" borderId="11" xfId="2" applyNumberFormat="1" applyFont="1" applyFill="1" applyBorder="1" applyAlignment="1">
      <alignment horizontal="center"/>
    </xf>
    <xf numFmtId="39" fontId="6" fillId="0" borderId="12" xfId="2" applyNumberFormat="1" applyFont="1" applyFill="1" applyBorder="1" applyAlignment="1">
      <alignment horizontal="center"/>
    </xf>
    <xf numFmtId="166" fontId="6" fillId="0" borderId="20" xfId="5" applyNumberFormat="1" applyFont="1" applyFill="1" applyBorder="1" applyAlignment="1">
      <alignment horizontal="right"/>
    </xf>
    <xf numFmtId="166" fontId="6" fillId="0" borderId="25" xfId="5" applyNumberFormat="1" applyFont="1" applyFill="1" applyBorder="1" applyAlignment="1">
      <alignment horizontal="right"/>
    </xf>
    <xf numFmtId="166" fontId="6" fillId="0" borderId="0" xfId="5" applyNumberFormat="1" applyFont="1" applyFill="1" applyBorder="1" applyAlignment="1">
      <alignment horizontal="right"/>
    </xf>
    <xf numFmtId="166" fontId="6" fillId="0" borderId="9" xfId="5" applyNumberFormat="1" applyFont="1" applyFill="1" applyBorder="1" applyAlignment="1">
      <alignment horizontal="right"/>
    </xf>
    <xf numFmtId="166" fontId="6" fillId="0" borderId="21" xfId="5" applyNumberFormat="1" applyFont="1" applyFill="1" applyBorder="1" applyAlignment="1">
      <alignment horizontal="right"/>
    </xf>
    <xf numFmtId="166" fontId="6" fillId="0" borderId="23" xfId="5" applyNumberFormat="1" applyFont="1" applyFill="1" applyBorder="1" applyAlignment="1">
      <alignment horizontal="right"/>
    </xf>
    <xf numFmtId="166" fontId="4" fillId="0" borderId="21" xfId="5" applyNumberFormat="1" applyFont="1" applyFill="1" applyBorder="1" applyAlignment="1">
      <alignment horizontal="center"/>
    </xf>
    <xf numFmtId="166" fontId="4" fillId="0" borderId="23" xfId="5" applyNumberFormat="1" applyFont="1" applyFill="1" applyBorder="1" applyAlignment="1">
      <alignment horizontal="center"/>
    </xf>
    <xf numFmtId="166" fontId="6" fillId="0" borderId="11" xfId="5" applyNumberFormat="1" applyFont="1" applyFill="1" applyBorder="1" applyAlignment="1">
      <alignment horizontal="right"/>
    </xf>
    <xf numFmtId="166" fontId="6" fillId="0" borderId="12" xfId="5" applyNumberFormat="1" applyFont="1" applyFill="1" applyBorder="1" applyAlignment="1">
      <alignment horizontal="right"/>
    </xf>
    <xf numFmtId="0" fontId="0" fillId="0" borderId="10" xfId="0" applyBorder="1"/>
    <xf numFmtId="166" fontId="6" fillId="0" borderId="18" xfId="5" applyNumberFormat="1" applyFont="1" applyFill="1" applyBorder="1" applyAlignment="1">
      <alignment horizontal="right"/>
    </xf>
    <xf numFmtId="166" fontId="6" fillId="0" borderId="19" xfId="5" applyNumberFormat="1" applyFont="1" applyFill="1" applyBorder="1" applyAlignment="1">
      <alignment horizontal="right"/>
    </xf>
    <xf numFmtId="43" fontId="6" fillId="0" borderId="0" xfId="1" applyFont="1" applyFill="1" applyBorder="1"/>
    <xf numFmtId="0" fontId="4" fillId="3" borderId="4" xfId="0" applyFont="1" applyFill="1" applyBorder="1"/>
    <xf numFmtId="0" fontId="6" fillId="0" borderId="24" xfId="0" applyFont="1" applyBorder="1"/>
    <xf numFmtId="0" fontId="6" fillId="0" borderId="25" xfId="0" applyFont="1" applyBorder="1"/>
    <xf numFmtId="0" fontId="6" fillId="0" borderId="9" xfId="0" applyFont="1" applyBorder="1"/>
    <xf numFmtId="10" fontId="6" fillId="0" borderId="23" xfId="0" applyNumberFormat="1" applyFont="1" applyBorder="1" applyAlignment="1">
      <alignment horizontal="center" vertical="center"/>
    </xf>
    <xf numFmtId="10" fontId="6" fillId="0" borderId="9" xfId="0" applyNumberFormat="1" applyFont="1" applyBorder="1" applyAlignment="1">
      <alignment horizontal="center" vertical="center"/>
    </xf>
    <xf numFmtId="10" fontId="12" fillId="3" borderId="16" xfId="0" applyNumberFormat="1" applyFont="1" applyFill="1" applyBorder="1" applyAlignment="1">
      <alignment horizontal="center" vertical="center"/>
    </xf>
    <xf numFmtId="0" fontId="12" fillId="3" borderId="5" xfId="0" applyFont="1" applyFill="1" applyBorder="1"/>
    <xf numFmtId="0" fontId="12" fillId="3" borderId="7" xfId="0" applyFont="1" applyFill="1" applyBorder="1"/>
    <xf numFmtId="10" fontId="6" fillId="0" borderId="12" xfId="0" applyNumberFormat="1" applyFont="1" applyBorder="1" applyAlignment="1">
      <alignment horizontal="center" vertical="center"/>
    </xf>
    <xf numFmtId="14" fontId="5" fillId="0" borderId="0" xfId="0" applyNumberFormat="1" applyFont="1"/>
    <xf numFmtId="0" fontId="16" fillId="0" borderId="0" xfId="0" applyFont="1"/>
    <xf numFmtId="0" fontId="8" fillId="0" borderId="9" xfId="0" applyFont="1" applyBorder="1"/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5" fillId="0" borderId="9" xfId="0" applyNumberFormat="1" applyFont="1" applyBorder="1" applyAlignment="1">
      <alignment horizontal="center"/>
    </xf>
    <xf numFmtId="39" fontId="5" fillId="0" borderId="0" xfId="0" applyNumberFormat="1" applyFont="1" applyAlignment="1">
      <alignment horizontal="center"/>
    </xf>
    <xf numFmtId="39" fontId="5" fillId="0" borderId="9" xfId="0" applyNumberFormat="1" applyFont="1" applyBorder="1" applyAlignment="1">
      <alignment horizontal="center"/>
    </xf>
    <xf numFmtId="39" fontId="5" fillId="0" borderId="11" xfId="0" applyNumberFormat="1" applyFont="1" applyBorder="1" applyAlignment="1">
      <alignment horizontal="center"/>
    </xf>
    <xf numFmtId="39" fontId="5" fillId="0" borderId="12" xfId="0" applyNumberFormat="1" applyFont="1" applyBorder="1" applyAlignment="1">
      <alignment horizontal="center"/>
    </xf>
    <xf numFmtId="37" fontId="8" fillId="0" borderId="0" xfId="0" applyNumberFormat="1" applyFont="1" applyAlignment="1">
      <alignment horizontal="center"/>
    </xf>
    <xf numFmtId="37" fontId="8" fillId="0" borderId="9" xfId="0" applyNumberFormat="1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0" fontId="5" fillId="3" borderId="1" xfId="0" applyFont="1" applyFill="1" applyBorder="1"/>
    <xf numFmtId="10" fontId="8" fillId="0" borderId="15" xfId="5" applyNumberFormat="1" applyFont="1" applyBorder="1" applyAlignment="1">
      <alignment horizontal="center"/>
    </xf>
    <xf numFmtId="10" fontId="8" fillId="0" borderId="16" xfId="5" applyNumberFormat="1" applyFont="1" applyBorder="1" applyAlignment="1">
      <alignment horizontal="center"/>
    </xf>
    <xf numFmtId="10" fontId="8" fillId="0" borderId="0" xfId="5" applyNumberFormat="1" applyFont="1" applyBorder="1" applyAlignment="1">
      <alignment horizontal="center"/>
    </xf>
    <xf numFmtId="9" fontId="0" fillId="0" borderId="0" xfId="5" applyFont="1"/>
    <xf numFmtId="39" fontId="0" fillId="0" borderId="0" xfId="0" applyNumberFormat="1"/>
    <xf numFmtId="9" fontId="17" fillId="0" borderId="0" xfId="5" applyFont="1"/>
    <xf numFmtId="166" fontId="0" fillId="0" borderId="0" xfId="5" applyNumberFormat="1" applyFont="1"/>
    <xf numFmtId="2" fontId="0" fillId="0" borderId="0" xfId="0" applyNumberFormat="1"/>
    <xf numFmtId="2" fontId="17" fillId="0" borderId="0" xfId="0" applyNumberFormat="1" applyFont="1"/>
    <xf numFmtId="0" fontId="17" fillId="0" borderId="0" xfId="0" applyFont="1"/>
    <xf numFmtId="9" fontId="18" fillId="0" borderId="0" xfId="5" applyFont="1"/>
    <xf numFmtId="2" fontId="18" fillId="0" borderId="0" xfId="0" applyNumberFormat="1" applyFont="1"/>
    <xf numFmtId="172" fontId="0" fillId="0" borderId="0" xfId="0" applyNumberFormat="1"/>
    <xf numFmtId="10" fontId="4" fillId="3" borderId="13" xfId="0" applyNumberFormat="1" applyFont="1" applyFill="1" applyBorder="1"/>
    <xf numFmtId="10" fontId="6" fillId="0" borderId="24" xfId="0" applyNumberFormat="1" applyFont="1" applyBorder="1" applyAlignment="1">
      <alignment horizontal="center" vertical="center"/>
    </xf>
    <xf numFmtId="10" fontId="6" fillId="0" borderId="8" xfId="0" applyNumberFormat="1" applyFont="1" applyBorder="1" applyAlignment="1">
      <alignment horizontal="center" vertical="center"/>
    </xf>
    <xf numFmtId="0" fontId="6" fillId="0" borderId="22" xfId="0" applyFont="1" applyBorder="1"/>
    <xf numFmtId="10" fontId="12" fillId="3" borderId="5" xfId="0" applyNumberFormat="1" applyFont="1" applyFill="1" applyBorder="1"/>
    <xf numFmtId="10" fontId="6" fillId="0" borderId="10" xfId="0" applyNumberFormat="1" applyFont="1" applyBorder="1" applyAlignment="1">
      <alignment horizontal="center" vertical="center"/>
    </xf>
    <xf numFmtId="3" fontId="5" fillId="0" borderId="0" xfId="0" applyNumberFormat="1" applyFont="1"/>
    <xf numFmtId="164" fontId="0" fillId="0" borderId="0" xfId="0" applyNumberFormat="1"/>
    <xf numFmtId="37" fontId="5" fillId="0" borderId="0" xfId="0" applyNumberFormat="1" applyFont="1"/>
    <xf numFmtId="10" fontId="5" fillId="0" borderId="0" xfId="0" applyNumberFormat="1" applyFont="1"/>
    <xf numFmtId="9" fontId="5" fillId="0" borderId="0" xfId="5" applyFont="1"/>
    <xf numFmtId="37" fontId="6" fillId="0" borderId="25" xfId="1" applyNumberFormat="1" applyFont="1" applyFill="1" applyBorder="1" applyAlignment="1">
      <alignment horizontal="center" vertical="center"/>
    </xf>
    <xf numFmtId="37" fontId="6" fillId="0" borderId="9" xfId="1" applyNumberFormat="1" applyFont="1" applyFill="1" applyBorder="1" applyAlignment="1">
      <alignment horizontal="center" vertical="center"/>
    </xf>
    <xf numFmtId="0" fontId="12" fillId="7" borderId="27" xfId="0" applyFont="1" applyFill="1" applyBorder="1" applyAlignment="1">
      <alignment horizontal="center" vertical="center" wrapText="1"/>
    </xf>
    <xf numFmtId="0" fontId="12" fillId="7" borderId="30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12" fillId="7" borderId="30" xfId="0" applyFont="1" applyFill="1" applyBorder="1" applyAlignment="1">
      <alignment horizontal="center" vertical="center"/>
    </xf>
    <xf numFmtId="0" fontId="12" fillId="7" borderId="28" xfId="0" applyFont="1" applyFill="1" applyBorder="1" applyAlignment="1">
      <alignment horizontal="center" vertical="center"/>
    </xf>
    <xf numFmtId="0" fontId="12" fillId="7" borderId="29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2" fontId="5" fillId="0" borderId="30" xfId="0" applyNumberFormat="1" applyFont="1" applyBorder="1" applyAlignment="1">
      <alignment horizontal="center" vertical="center" wrapText="1"/>
    </xf>
    <xf numFmtId="2" fontId="5" fillId="8" borderId="30" xfId="0" applyNumberFormat="1" applyFont="1" applyFill="1" applyBorder="1" applyAlignment="1">
      <alignment horizontal="center" vertical="center" wrapText="1"/>
    </xf>
    <xf numFmtId="4" fontId="5" fillId="0" borderId="30" xfId="0" applyNumberFormat="1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4" fontId="5" fillId="8" borderId="30" xfId="0" applyNumberFormat="1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center"/>
    </xf>
    <xf numFmtId="0" fontId="5" fillId="0" borderId="3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4" fontId="5" fillId="0" borderId="30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/>
    </xf>
    <xf numFmtId="0" fontId="5" fillId="0" borderId="36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/>
    </xf>
    <xf numFmtId="4" fontId="5" fillId="2" borderId="30" xfId="0" applyNumberFormat="1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4" fontId="5" fillId="8" borderId="30" xfId="0" applyNumberFormat="1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left" vertical="center"/>
    </xf>
    <xf numFmtId="0" fontId="5" fillId="8" borderId="30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/>
    </xf>
    <xf numFmtId="3" fontId="5" fillId="0" borderId="30" xfId="0" applyNumberFormat="1" applyFont="1" applyBorder="1" applyAlignment="1">
      <alignment horizontal="center" vertical="center" wrapText="1"/>
    </xf>
    <xf numFmtId="0" fontId="12" fillId="7" borderId="33" xfId="0" applyFont="1" applyFill="1" applyBorder="1" applyAlignment="1">
      <alignment horizontal="center" vertical="center" wrapText="1"/>
    </xf>
    <xf numFmtId="20" fontId="5" fillId="0" borderId="30" xfId="0" applyNumberFormat="1" applyFont="1" applyBorder="1" applyAlignment="1">
      <alignment horizontal="center" vertical="center" wrapText="1"/>
    </xf>
    <xf numFmtId="20" fontId="5" fillId="0" borderId="33" xfId="0" applyNumberFormat="1" applyFont="1" applyBorder="1" applyAlignment="1">
      <alignment horizontal="center" vertical="center" wrapText="1"/>
    </xf>
    <xf numFmtId="20" fontId="5" fillId="0" borderId="27" xfId="0" applyNumberFormat="1" applyFont="1" applyBorder="1" applyAlignment="1">
      <alignment horizontal="center" vertical="center" wrapText="1"/>
    </xf>
    <xf numFmtId="21" fontId="5" fillId="0" borderId="33" xfId="0" applyNumberFormat="1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/>
    </xf>
    <xf numFmtId="0" fontId="5" fillId="8" borderId="33" xfId="0" applyFont="1" applyFill="1" applyBorder="1" applyAlignment="1">
      <alignment horizontal="center" vertical="center" wrapText="1"/>
    </xf>
    <xf numFmtId="0" fontId="5" fillId="8" borderId="34" xfId="0" applyFont="1" applyFill="1" applyBorder="1" applyAlignment="1">
      <alignment horizontal="center" vertical="center" wrapText="1"/>
    </xf>
    <xf numFmtId="0" fontId="5" fillId="8" borderId="40" xfId="0" applyFont="1" applyFill="1" applyBorder="1" applyAlignment="1">
      <alignment horizontal="center" vertical="center" wrapText="1"/>
    </xf>
    <xf numFmtId="0" fontId="5" fillId="8" borderId="28" xfId="0" applyFont="1" applyFill="1" applyBorder="1" applyAlignment="1">
      <alignment horizontal="center" vertical="center" wrapText="1"/>
    </xf>
    <xf numFmtId="0" fontId="5" fillId="8" borderId="27" xfId="0" applyFont="1" applyFill="1" applyBorder="1" applyAlignment="1">
      <alignment horizontal="center" vertical="center" wrapText="1"/>
    </xf>
    <xf numFmtId="3" fontId="6" fillId="8" borderId="27" xfId="0" applyNumberFormat="1" applyFont="1" applyFill="1" applyBorder="1" applyAlignment="1">
      <alignment horizontal="center" vertical="center"/>
    </xf>
    <xf numFmtId="20" fontId="5" fillId="0" borderId="28" xfId="0" applyNumberFormat="1" applyFont="1" applyBorder="1" applyAlignment="1">
      <alignment horizontal="center" vertical="center" wrapText="1"/>
    </xf>
    <xf numFmtId="20" fontId="5" fillId="0" borderId="34" xfId="0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12" fillId="7" borderId="41" xfId="0" applyFont="1" applyFill="1" applyBorder="1" applyAlignment="1">
      <alignment horizontal="center" vertical="center" wrapText="1"/>
    </xf>
    <xf numFmtId="4" fontId="5" fillId="8" borderId="41" xfId="0" applyNumberFormat="1" applyFont="1" applyFill="1" applyBorder="1" applyAlignment="1">
      <alignment horizontal="center" vertical="center" wrapText="1"/>
    </xf>
    <xf numFmtId="4" fontId="5" fillId="0" borderId="41" xfId="0" applyNumberFormat="1" applyFont="1" applyBorder="1" applyAlignment="1">
      <alignment horizontal="center" vertical="center" wrapText="1"/>
    </xf>
    <xf numFmtId="0" fontId="19" fillId="0" borderId="0" xfId="0" applyFont="1"/>
    <xf numFmtId="0" fontId="5" fillId="0" borderId="0" xfId="0" applyFont="1" applyAlignment="1">
      <alignment horizontal="justify" vertical="justify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2" fillId="7" borderId="42" xfId="0" applyFont="1" applyFill="1" applyBorder="1" applyAlignment="1">
      <alignment horizontal="center" vertical="center" wrapText="1"/>
    </xf>
    <xf numFmtId="20" fontId="5" fillId="0" borderId="45" xfId="0" applyNumberFormat="1" applyFont="1" applyBorder="1" applyAlignment="1">
      <alignment horizontal="center" vertical="center" wrapText="1"/>
    </xf>
    <xf numFmtId="3" fontId="6" fillId="8" borderId="45" xfId="0" applyNumberFormat="1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8" borderId="46" xfId="0" applyFont="1" applyFill="1" applyBorder="1" applyAlignment="1">
      <alignment horizontal="center" vertical="center"/>
    </xf>
    <xf numFmtId="0" fontId="5" fillId="8" borderId="46" xfId="0" applyFont="1" applyFill="1" applyBorder="1" applyAlignment="1">
      <alignment horizontal="center" vertical="center" wrapText="1"/>
    </xf>
    <xf numFmtId="0" fontId="5" fillId="8" borderId="47" xfId="0" applyFont="1" applyFill="1" applyBorder="1" applyAlignment="1">
      <alignment horizontal="center" vertical="center" wrapText="1"/>
    </xf>
    <xf numFmtId="0" fontId="5" fillId="8" borderId="48" xfId="0" applyFont="1" applyFill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/>
    </xf>
    <xf numFmtId="3" fontId="6" fillId="8" borderId="48" xfId="0" applyNumberFormat="1" applyFont="1" applyFill="1" applyBorder="1" applyAlignment="1">
      <alignment horizontal="center" vertical="center"/>
    </xf>
    <xf numFmtId="3" fontId="6" fillId="8" borderId="50" xfId="0" applyNumberFormat="1" applyFont="1" applyFill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12" fillId="7" borderId="51" xfId="0" applyFont="1" applyFill="1" applyBorder="1" applyAlignment="1">
      <alignment horizontal="center" vertical="center"/>
    </xf>
    <xf numFmtId="0" fontId="5" fillId="0" borderId="52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0" borderId="5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/>
    </xf>
    <xf numFmtId="9" fontId="5" fillId="0" borderId="20" xfId="5" applyFont="1" applyBorder="1"/>
    <xf numFmtId="9" fontId="5" fillId="0" borderId="35" xfId="5" applyFont="1" applyBorder="1"/>
    <xf numFmtId="9" fontId="5" fillId="0" borderId="0" xfId="5" applyFont="1" applyBorder="1"/>
    <xf numFmtId="9" fontId="5" fillId="0" borderId="37" xfId="5" applyFont="1" applyBorder="1"/>
    <xf numFmtId="9" fontId="5" fillId="0" borderId="21" xfId="5" applyFont="1" applyBorder="1"/>
    <xf numFmtId="9" fontId="5" fillId="0" borderId="39" xfId="5" applyFont="1" applyBorder="1"/>
    <xf numFmtId="0" fontId="5" fillId="0" borderId="0" xfId="0" applyFont="1" applyAlignment="1">
      <alignment horizontal="left" vertical="center"/>
    </xf>
    <xf numFmtId="9" fontId="5" fillId="0" borderId="34" xfId="5" applyFont="1" applyBorder="1"/>
    <xf numFmtId="9" fontId="5" fillId="0" borderId="31" xfId="5" applyFont="1" applyBorder="1"/>
    <xf numFmtId="9" fontId="5" fillId="0" borderId="38" xfId="5" applyFont="1" applyBorder="1"/>
    <xf numFmtId="0" fontId="5" fillId="0" borderId="2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0" xfId="0" applyFont="1" applyBorder="1"/>
    <xf numFmtId="9" fontId="5" fillId="0" borderId="20" xfId="0" applyNumberFormat="1" applyFont="1" applyBorder="1"/>
    <xf numFmtId="0" fontId="5" fillId="0" borderId="20" xfId="0" applyFont="1" applyBorder="1" applyAlignment="1">
      <alignment horizontal="center" vertical="center"/>
    </xf>
    <xf numFmtId="9" fontId="5" fillId="0" borderId="21" xfId="0" applyNumberFormat="1" applyFont="1" applyBorder="1"/>
    <xf numFmtId="9" fontId="5" fillId="0" borderId="35" xfId="0" applyNumberFormat="1" applyFont="1" applyBorder="1"/>
    <xf numFmtId="9" fontId="5" fillId="0" borderId="37" xfId="0" applyNumberFormat="1" applyFont="1" applyBorder="1"/>
    <xf numFmtId="9" fontId="5" fillId="0" borderId="39" xfId="0" applyNumberFormat="1" applyFont="1" applyBorder="1"/>
    <xf numFmtId="3" fontId="5" fillId="0" borderId="35" xfId="0" applyNumberFormat="1" applyFont="1" applyBorder="1"/>
    <xf numFmtId="3" fontId="5" fillId="0" borderId="37" xfId="0" applyNumberFormat="1" applyFont="1" applyBorder="1"/>
    <xf numFmtId="3" fontId="5" fillId="0" borderId="39" xfId="0" applyNumberFormat="1" applyFont="1" applyBorder="1"/>
    <xf numFmtId="166" fontId="5" fillId="0" borderId="33" xfId="5" applyNumberFormat="1" applyFont="1" applyBorder="1" applyAlignment="1">
      <alignment horizontal="center"/>
    </xf>
    <xf numFmtId="166" fontId="5" fillId="0" borderId="36" xfId="5" applyNumberFormat="1" applyFont="1" applyBorder="1" applyAlignment="1">
      <alignment horizontal="center"/>
    </xf>
    <xf numFmtId="166" fontId="5" fillId="0" borderId="32" xfId="5" applyNumberFormat="1" applyFont="1" applyBorder="1" applyAlignment="1">
      <alignment horizontal="center"/>
    </xf>
    <xf numFmtId="170" fontId="5" fillId="0" borderId="0" xfId="0" applyNumberFormat="1" applyFont="1" applyAlignment="1">
      <alignment horizontal="center"/>
    </xf>
    <xf numFmtId="166" fontId="5" fillId="0" borderId="33" xfId="0" applyNumberFormat="1" applyFont="1" applyBorder="1" applyAlignment="1">
      <alignment horizontal="center"/>
    </xf>
    <xf numFmtId="166" fontId="5" fillId="0" borderId="36" xfId="0" applyNumberFormat="1" applyFont="1" applyBorder="1" applyAlignment="1">
      <alignment horizontal="center"/>
    </xf>
    <xf numFmtId="166" fontId="5" fillId="0" borderId="32" xfId="0" applyNumberFormat="1" applyFont="1" applyBorder="1" applyAlignment="1">
      <alignment horizontal="center"/>
    </xf>
    <xf numFmtId="9" fontId="5" fillId="0" borderId="20" xfId="5" applyFont="1" applyBorder="1" applyAlignment="1">
      <alignment horizontal="center"/>
    </xf>
    <xf numFmtId="9" fontId="5" fillId="0" borderId="35" xfId="5" applyFont="1" applyBorder="1" applyAlignment="1">
      <alignment horizontal="center"/>
    </xf>
    <xf numFmtId="9" fontId="5" fillId="0" borderId="0" xfId="5" applyFont="1" applyBorder="1" applyAlignment="1">
      <alignment horizontal="center"/>
    </xf>
    <xf numFmtId="9" fontId="5" fillId="0" borderId="37" xfId="5" applyFont="1" applyBorder="1" applyAlignment="1">
      <alignment horizontal="center"/>
    </xf>
    <xf numFmtId="9" fontId="5" fillId="0" borderId="21" xfId="5" applyFont="1" applyBorder="1" applyAlignment="1">
      <alignment horizontal="center"/>
    </xf>
    <xf numFmtId="9" fontId="5" fillId="0" borderId="39" xfId="5" applyFont="1" applyBorder="1" applyAlignment="1">
      <alignment horizontal="center"/>
    </xf>
    <xf numFmtId="10" fontId="5" fillId="4" borderId="29" xfId="5" applyNumberFormat="1" applyFont="1" applyFill="1" applyBorder="1" applyAlignment="1">
      <alignment horizontal="center"/>
    </xf>
    <xf numFmtId="0" fontId="5" fillId="0" borderId="16" xfId="0" applyFont="1" applyBorder="1"/>
    <xf numFmtId="10" fontId="0" fillId="0" borderId="0" xfId="0" applyNumberFormat="1"/>
    <xf numFmtId="10" fontId="6" fillId="0" borderId="0" xfId="0" applyNumberFormat="1" applyFont="1"/>
    <xf numFmtId="9" fontId="5" fillId="0" borderId="11" xfId="5" applyFont="1" applyFill="1" applyBorder="1" applyAlignment="1">
      <alignment horizontal="center" vertical="center"/>
    </xf>
    <xf numFmtId="9" fontId="5" fillId="0" borderId="12" xfId="5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  <xf numFmtId="2" fontId="20" fillId="0" borderId="0" xfId="1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2" fontId="20" fillId="0" borderId="9" xfId="1" applyNumberFormat="1" applyFont="1" applyBorder="1" applyAlignment="1">
      <alignment horizontal="center"/>
    </xf>
    <xf numFmtId="2" fontId="20" fillId="0" borderId="23" xfId="1" applyNumberFormat="1" applyFont="1" applyBorder="1" applyAlignment="1">
      <alignment horizontal="center"/>
    </xf>
    <xf numFmtId="166" fontId="8" fillId="0" borderId="15" xfId="5" applyNumberFormat="1" applyFont="1" applyBorder="1" applyAlignment="1">
      <alignment horizontal="center"/>
    </xf>
    <xf numFmtId="166" fontId="8" fillId="0" borderId="16" xfId="5" applyNumberFormat="1" applyFont="1" applyBorder="1" applyAlignment="1">
      <alignment horizontal="center"/>
    </xf>
    <xf numFmtId="0" fontId="12" fillId="3" borderId="28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 wrapText="1"/>
    </xf>
    <xf numFmtId="0" fontId="12" fillId="3" borderId="33" xfId="0" applyFont="1" applyFill="1" applyBorder="1"/>
    <xf numFmtId="0" fontId="12" fillId="3" borderId="36" xfId="0" applyFont="1" applyFill="1" applyBorder="1"/>
    <xf numFmtId="0" fontId="12" fillId="3" borderId="32" xfId="0" applyFont="1" applyFill="1" applyBorder="1"/>
    <xf numFmtId="0" fontId="12" fillId="3" borderId="34" xfId="0" applyFont="1" applyFill="1" applyBorder="1"/>
    <xf numFmtId="0" fontId="12" fillId="3" borderId="31" xfId="0" applyFont="1" applyFill="1" applyBorder="1"/>
    <xf numFmtId="0" fontId="12" fillId="3" borderId="38" xfId="0" applyFont="1" applyFill="1" applyBorder="1"/>
    <xf numFmtId="43" fontId="5" fillId="0" borderId="20" xfId="1" applyFont="1" applyFill="1" applyBorder="1" applyAlignment="1">
      <alignment horizontal="center" vertical="center"/>
    </xf>
    <xf numFmtId="43" fontId="5" fillId="0" borderId="25" xfId="1" applyFont="1" applyFill="1" applyBorder="1" applyAlignment="1">
      <alignment horizontal="center" vertical="center"/>
    </xf>
    <xf numFmtId="43" fontId="5" fillId="0" borderId="0" xfId="1" applyFont="1" applyFill="1" applyBorder="1" applyAlignment="1">
      <alignment horizontal="center" vertical="center"/>
    </xf>
    <xf numFmtId="43" fontId="5" fillId="0" borderId="9" xfId="1" applyFont="1" applyFill="1" applyBorder="1" applyAlignment="1">
      <alignment horizontal="center" vertical="center"/>
    </xf>
    <xf numFmtId="43" fontId="6" fillId="0" borderId="0" xfId="1" applyFont="1" applyFill="1" applyBorder="1" applyAlignment="1">
      <alignment horizontal="center" vertical="center"/>
    </xf>
    <xf numFmtId="43" fontId="6" fillId="0" borderId="9" xfId="1" applyFont="1" applyFill="1" applyBorder="1" applyAlignment="1">
      <alignment horizontal="center" vertical="center"/>
    </xf>
    <xf numFmtId="43" fontId="5" fillId="0" borderId="11" xfId="1" applyFont="1" applyFill="1" applyBorder="1" applyAlignment="1">
      <alignment horizontal="center" vertical="center"/>
    </xf>
    <xf numFmtId="43" fontId="5" fillId="0" borderId="12" xfId="1" applyFont="1" applyFill="1" applyBorder="1" applyAlignment="1">
      <alignment horizontal="center" vertical="center"/>
    </xf>
    <xf numFmtId="0" fontId="21" fillId="0" borderId="0" xfId="0" applyFont="1"/>
    <xf numFmtId="0" fontId="22" fillId="3" borderId="30" xfId="0" applyFont="1" applyFill="1" applyBorder="1"/>
    <xf numFmtId="0" fontId="22" fillId="3" borderId="30" xfId="0" applyFont="1" applyFill="1" applyBorder="1" applyAlignment="1">
      <alignment horizontal="center"/>
    </xf>
    <xf numFmtId="0" fontId="21" fillId="0" borderId="30" xfId="0" applyFont="1" applyBorder="1"/>
    <xf numFmtId="166" fontId="21" fillId="0" borderId="30" xfId="0" applyNumberFormat="1" applyFont="1" applyBorder="1" applyAlignment="1">
      <alignment horizontal="center"/>
    </xf>
    <xf numFmtId="10" fontId="21" fillId="0" borderId="30" xfId="5" applyNumberFormat="1" applyFont="1" applyBorder="1" applyAlignment="1">
      <alignment horizontal="center"/>
    </xf>
    <xf numFmtId="3" fontId="21" fillId="0" borderId="30" xfId="0" applyNumberFormat="1" applyFont="1" applyBorder="1" applyAlignment="1">
      <alignment horizontal="center"/>
    </xf>
    <xf numFmtId="10" fontId="22" fillId="3" borderId="30" xfId="5" applyNumberFormat="1" applyFont="1" applyFill="1" applyBorder="1"/>
    <xf numFmtId="0" fontId="15" fillId="3" borderId="28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29" xfId="0" applyFont="1" applyFill="1" applyBorder="1" applyAlignment="1">
      <alignment horizontal="center"/>
    </xf>
    <xf numFmtId="0" fontId="5" fillId="0" borderId="34" xfId="0" applyFont="1" applyBorder="1"/>
    <xf numFmtId="43" fontId="5" fillId="2" borderId="35" xfId="2" applyFont="1" applyFill="1" applyBorder="1"/>
    <xf numFmtId="0" fontId="5" fillId="0" borderId="38" xfId="0" applyFont="1" applyBorder="1"/>
    <xf numFmtId="43" fontId="5" fillId="0" borderId="21" xfId="1" applyFont="1" applyBorder="1"/>
    <xf numFmtId="43" fontId="5" fillId="0" borderId="39" xfId="1" applyFont="1" applyBorder="1"/>
    <xf numFmtId="2" fontId="5" fillId="2" borderId="37" xfId="0" applyNumberFormat="1" applyFont="1" applyFill="1" applyBorder="1"/>
    <xf numFmtId="43" fontId="5" fillId="0" borderId="0" xfId="1" applyFont="1" applyBorder="1"/>
    <xf numFmtId="43" fontId="6" fillId="0" borderId="0" xfId="1" applyFont="1" applyBorder="1"/>
    <xf numFmtId="0" fontId="15" fillId="3" borderId="1" xfId="0" applyFont="1" applyFill="1" applyBorder="1" applyAlignment="1">
      <alignment horizontal="center"/>
    </xf>
    <xf numFmtId="43" fontId="5" fillId="2" borderId="9" xfId="2" applyFont="1" applyFill="1" applyBorder="1"/>
    <xf numFmtId="43" fontId="5" fillId="0" borderId="12" xfId="1" applyFont="1" applyBorder="1"/>
    <xf numFmtId="0" fontId="6" fillId="0" borderId="22" xfId="0" applyFont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168" fontId="5" fillId="9" borderId="0" xfId="0" applyNumberFormat="1" applyFont="1" applyFill="1" applyAlignment="1">
      <alignment horizontal="center" vertical="center"/>
    </xf>
    <xf numFmtId="168" fontId="5" fillId="9" borderId="9" xfId="0" applyNumberFormat="1" applyFont="1" applyFill="1" applyBorder="1" applyAlignment="1">
      <alignment horizontal="center" vertical="center"/>
    </xf>
    <xf numFmtId="168" fontId="4" fillId="9" borderId="6" xfId="2" applyNumberFormat="1" applyFont="1" applyFill="1" applyBorder="1" applyAlignment="1">
      <alignment horizontal="center"/>
    </xf>
    <xf numFmtId="168" fontId="4" fillId="9" borderId="7" xfId="2" applyNumberFormat="1" applyFont="1" applyFill="1" applyBorder="1" applyAlignment="1">
      <alignment horizontal="center"/>
    </xf>
    <xf numFmtId="10" fontId="5" fillId="9" borderId="9" xfId="5" applyNumberFormat="1" applyFont="1" applyFill="1" applyBorder="1" applyAlignment="1">
      <alignment horizontal="center"/>
    </xf>
    <xf numFmtId="10" fontId="5" fillId="9" borderId="23" xfId="5" applyNumberFormat="1" applyFont="1" applyFill="1" applyBorder="1" applyAlignment="1">
      <alignment horizontal="center"/>
    </xf>
    <xf numFmtId="10" fontId="4" fillId="9" borderId="12" xfId="5" applyNumberFormat="1" applyFont="1" applyFill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2" fillId="7" borderId="28" xfId="0" applyFont="1" applyFill="1" applyBorder="1" applyAlignment="1">
      <alignment horizontal="center" vertical="center"/>
    </xf>
    <xf numFmtId="0" fontId="12" fillId="7" borderId="29" xfId="0" applyFont="1" applyFill="1" applyBorder="1" applyAlignment="1">
      <alignment horizontal="center" vertical="center"/>
    </xf>
    <xf numFmtId="4" fontId="5" fillId="0" borderId="33" xfId="0" applyNumberFormat="1" applyFont="1" applyBorder="1" applyAlignment="1">
      <alignment horizontal="center" vertical="center" wrapText="1"/>
    </xf>
    <xf numFmtId="4" fontId="5" fillId="0" borderId="36" xfId="0" applyNumberFormat="1" applyFont="1" applyBorder="1" applyAlignment="1">
      <alignment horizontal="center" vertical="center" wrapText="1"/>
    </xf>
    <xf numFmtId="4" fontId="5" fillId="0" borderId="32" xfId="0" applyNumberFormat="1" applyFont="1" applyBorder="1" applyAlignment="1">
      <alignment horizontal="center" vertical="center" wrapText="1"/>
    </xf>
    <xf numFmtId="4" fontId="5" fillId="0" borderId="42" xfId="0" applyNumberFormat="1" applyFont="1" applyBorder="1" applyAlignment="1">
      <alignment horizontal="center" vertical="center" wrapText="1"/>
    </xf>
    <xf numFmtId="4" fontId="5" fillId="0" borderId="43" xfId="0" applyNumberFormat="1" applyFont="1" applyBorder="1" applyAlignment="1">
      <alignment horizontal="center" vertical="center" wrapText="1"/>
    </xf>
    <xf numFmtId="4" fontId="5" fillId="0" borderId="44" xfId="0" applyNumberFormat="1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12" fillId="7" borderId="28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2" fillId="7" borderId="29" xfId="0" applyFont="1" applyFill="1" applyBorder="1" applyAlignment="1">
      <alignment horizontal="center" vertical="center" wrapText="1"/>
    </xf>
    <xf numFmtId="0" fontId="12" fillId="7" borderId="30" xfId="0" applyFont="1" applyFill="1" applyBorder="1" applyAlignment="1">
      <alignment horizontal="center" vertical="center" wrapText="1"/>
    </xf>
    <xf numFmtId="0" fontId="12" fillId="7" borderId="31" xfId="0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12" fillId="7" borderId="9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2" fillId="7" borderId="27" xfId="0" applyFont="1" applyFill="1" applyBorder="1" applyAlignment="1">
      <alignment horizontal="center" vertical="center" wrapText="1"/>
    </xf>
  </cellXfs>
  <cellStyles count="7">
    <cellStyle name="Hipervínculo" xfId="6" builtinId="8"/>
    <cellStyle name="Millares" xfId="1" builtinId="3"/>
    <cellStyle name="Millares 2 3" xfId="2" xr:uid="{EA6B1A2F-CDF2-479E-BD08-9A9938967C1E}"/>
    <cellStyle name="Normal" xfId="0" builtinId="0"/>
    <cellStyle name="Normal 13" xfId="4" xr:uid="{899DE9FA-1436-43FA-83ED-F3316EC1D7AD}"/>
    <cellStyle name="Normal 2 3" xfId="3" xr:uid="{61F4DFCC-B937-4BEE-88CC-0B04CA2EDDAE}"/>
    <cellStyle name="Porcentaje" xfId="5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6F396DF9-B867-455E-9F53-C0A3988FA777}"/>
  </tableStyles>
  <colors>
    <mruColors>
      <color rgb="FF22A5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F8005-9062-4F9A-861F-030E314B26B1}">
  <dimension ref="B2:D19"/>
  <sheetViews>
    <sheetView showGridLines="0" tabSelected="1" zoomScale="90" zoomScaleNormal="90" workbookViewId="0">
      <selection activeCell="B5" sqref="B5"/>
    </sheetView>
  </sheetViews>
  <sheetFormatPr baseColWidth="10" defaultColWidth="11.453125" defaultRowHeight="14.5"/>
  <cols>
    <col min="1" max="1" width="11.453125" style="3"/>
    <col min="2" max="2" width="67.54296875" style="3" bestFit="1" customWidth="1"/>
    <col min="3" max="3" width="8.7265625" style="3" bestFit="1" customWidth="1"/>
    <col min="4" max="4" width="9.453125" style="3" bestFit="1" customWidth="1"/>
    <col min="5" max="5" width="13.453125" style="3" bestFit="1" customWidth="1"/>
    <col min="6" max="16384" width="11.453125" style="3"/>
  </cols>
  <sheetData>
    <row r="2" spans="2:4">
      <c r="B2" s="2" t="s">
        <v>236</v>
      </c>
      <c r="C2" s="4"/>
      <c r="D2" s="362"/>
    </row>
    <row r="3" spans="2:4">
      <c r="B3" s="4"/>
      <c r="C3" s="4"/>
      <c r="D3" s="4"/>
    </row>
    <row r="4" spans="2:4" ht="15" thickBot="1">
      <c r="B4" s="2"/>
      <c r="C4" s="585"/>
      <c r="D4" s="585"/>
    </row>
    <row r="5" spans="2:4">
      <c r="B5" s="208" t="s">
        <v>237</v>
      </c>
      <c r="C5" s="402"/>
      <c r="D5" s="363"/>
    </row>
    <row r="6" spans="2:4">
      <c r="B6" s="364" t="s">
        <v>243</v>
      </c>
      <c r="C6" s="403">
        <f>'5.Insumos Economía'!C47</f>
        <v>2.0410967288244767E-2</v>
      </c>
      <c r="D6" s="365"/>
    </row>
    <row r="7" spans="2:4">
      <c r="B7" s="189" t="s">
        <v>244</v>
      </c>
      <c r="C7" s="404">
        <f>'3.ÍndPrecioInsumEmp'!C15</f>
        <v>-4.8196554491782867E-2</v>
      </c>
      <c r="D7" s="366"/>
    </row>
    <row r="8" spans="2:4">
      <c r="B8" s="575" t="s">
        <v>238</v>
      </c>
      <c r="C8" s="405"/>
      <c r="D8" s="367">
        <f>+C6-C7</f>
        <v>6.860752178002763E-2</v>
      </c>
    </row>
    <row r="9" spans="2:4">
      <c r="B9" s="189"/>
      <c r="C9" s="189"/>
      <c r="D9" s="368"/>
    </row>
    <row r="10" spans="2:4">
      <c r="B10" s="370" t="s">
        <v>239</v>
      </c>
      <c r="C10" s="406"/>
      <c r="D10" s="371"/>
    </row>
    <row r="11" spans="2:4">
      <c r="B11" s="364" t="s">
        <v>241</v>
      </c>
      <c r="C11" s="403">
        <f>'2.PTFEmpresa'!C11</f>
        <v>-0.13411771851009013</v>
      </c>
      <c r="D11" s="365"/>
    </row>
    <row r="12" spans="2:4">
      <c r="B12" s="189" t="s">
        <v>242</v>
      </c>
      <c r="C12" s="404">
        <f>'4.PTF Economía'!C13</f>
        <v>-1.0874999999999999E-2</v>
      </c>
      <c r="D12" s="366"/>
    </row>
    <row r="13" spans="2:4" ht="15" thickBot="1">
      <c r="B13" s="577" t="s">
        <v>238</v>
      </c>
      <c r="C13" s="407"/>
      <c r="D13" s="372">
        <f>+C11-C12</f>
        <v>-0.12324271851009014</v>
      </c>
    </row>
    <row r="14" spans="2:4" ht="15" thickBot="1"/>
    <row r="15" spans="2:4" ht="15" thickBot="1">
      <c r="B15" s="576" t="s">
        <v>240</v>
      </c>
      <c r="C15" s="180"/>
      <c r="D15" s="369">
        <f>+D8+D13</f>
        <v>-5.4635196730062507E-2</v>
      </c>
    </row>
    <row r="16" spans="2:4" ht="15" thickBot="1">
      <c r="B16" s="39"/>
    </row>
    <row r="17" spans="2:4" ht="15" thickBot="1">
      <c r="B17" s="576" t="s">
        <v>397</v>
      </c>
      <c r="C17" s="180"/>
      <c r="D17" s="369">
        <f>-'Factor Q'!D44</f>
        <v>-4.9668197185221669E-2</v>
      </c>
    </row>
    <row r="18" spans="2:4" ht="15" thickBot="1">
      <c r="B18" s="39"/>
    </row>
    <row r="19" spans="2:4" ht="15" thickBot="1">
      <c r="B19" s="576" t="s">
        <v>398</v>
      </c>
      <c r="C19" s="180"/>
      <c r="D19" s="369">
        <f>D15+D17</f>
        <v>-0.10430339391528418</v>
      </c>
    </row>
  </sheetData>
  <mergeCells count="1">
    <mergeCell ref="C4:D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7D8EB-8406-413C-A955-F7FA2E2E7EDA}">
  <sheetPr>
    <tabColor theme="1" tint="0.14999847407452621"/>
  </sheetPr>
  <dimension ref="A1:K36"/>
  <sheetViews>
    <sheetView showGridLines="0" zoomScale="90" zoomScaleNormal="90" workbookViewId="0">
      <selection activeCell="C41" sqref="C41"/>
    </sheetView>
  </sheetViews>
  <sheetFormatPr baseColWidth="10" defaultColWidth="11.453125" defaultRowHeight="14.5"/>
  <cols>
    <col min="2" max="2" width="61.7265625" bestFit="1" customWidth="1"/>
    <col min="3" max="3" width="13" bestFit="1" customWidth="1"/>
    <col min="4" max="8" width="11" bestFit="1" customWidth="1"/>
    <col min="9" max="9" width="13.1796875" bestFit="1" customWidth="1"/>
    <col min="10" max="12" width="13.26953125" bestFit="1" customWidth="1"/>
  </cols>
  <sheetData>
    <row r="1" spans="1:11">
      <c r="A1" s="3"/>
      <c r="B1" s="3"/>
    </row>
    <row r="2" spans="1:11">
      <c r="A2" s="3"/>
      <c r="B2" s="3"/>
    </row>
    <row r="3" spans="1:11">
      <c r="A3" s="3"/>
      <c r="B3" s="3"/>
    </row>
    <row r="4" spans="1:11">
      <c r="A4" s="3"/>
      <c r="B4" s="2" t="s">
        <v>66</v>
      </c>
    </row>
    <row r="5" spans="1:11">
      <c r="A5" s="3"/>
      <c r="B5" s="3"/>
    </row>
    <row r="6" spans="1:11">
      <c r="A6" s="3"/>
      <c r="B6" s="3"/>
    </row>
    <row r="7" spans="1:11">
      <c r="A7" s="3"/>
      <c r="B7" s="3"/>
    </row>
    <row r="8" spans="1:11">
      <c r="A8" s="3"/>
      <c r="B8" s="46" t="s">
        <v>67</v>
      </c>
    </row>
    <row r="9" spans="1:11" ht="15" thickBot="1"/>
    <row r="10" spans="1:11">
      <c r="B10" s="124" t="s">
        <v>68</v>
      </c>
      <c r="C10" s="125">
        <v>2015</v>
      </c>
      <c r="D10" s="125">
        <v>2016</v>
      </c>
      <c r="E10" s="125">
        <v>2017</v>
      </c>
      <c r="F10" s="125">
        <v>2018</v>
      </c>
      <c r="G10" s="125">
        <v>2019</v>
      </c>
      <c r="H10" s="125">
        <v>2020</v>
      </c>
      <c r="I10" s="125">
        <v>2021</v>
      </c>
      <c r="J10" s="125">
        <v>2022</v>
      </c>
      <c r="K10" s="126">
        <v>2023</v>
      </c>
    </row>
    <row r="11" spans="1:11">
      <c r="B11" s="71" t="s">
        <v>69</v>
      </c>
      <c r="C11" s="72"/>
      <c r="D11" s="72"/>
      <c r="E11" s="72"/>
      <c r="F11" s="72"/>
      <c r="G11" s="72"/>
      <c r="H11" s="72"/>
      <c r="I11" s="69"/>
      <c r="J11" s="69"/>
      <c r="K11" s="70"/>
    </row>
    <row r="12" spans="1:11">
      <c r="B12" s="22" t="s">
        <v>70</v>
      </c>
      <c r="C12" s="53">
        <v>56937.108069636393</v>
      </c>
      <c r="D12" s="53">
        <v>62818.603403901558</v>
      </c>
      <c r="E12" s="53">
        <v>429905.42958226742</v>
      </c>
      <c r="F12" s="53">
        <v>497357.8404658619</v>
      </c>
      <c r="G12" s="53">
        <v>835726.30996214505</v>
      </c>
      <c r="H12" s="53">
        <v>536251.7506242767</v>
      </c>
      <c r="I12" s="74">
        <v>1336332.4335404071</v>
      </c>
      <c r="J12" s="74">
        <v>2359242.6176011683</v>
      </c>
      <c r="K12" s="75">
        <v>2415128.5553879528</v>
      </c>
    </row>
    <row r="13" spans="1:11">
      <c r="B13" s="22" t="s">
        <v>71</v>
      </c>
      <c r="C13" s="53">
        <v>240395.15484657174</v>
      </c>
      <c r="D13" s="53">
        <v>236445.86734654548</v>
      </c>
      <c r="E13" s="53">
        <v>492385.05909104628</v>
      </c>
      <c r="F13" s="53">
        <v>441983.34249619138</v>
      </c>
      <c r="G13" s="53">
        <v>746554.19627274363</v>
      </c>
      <c r="H13" s="53">
        <v>436708.10745594022</v>
      </c>
      <c r="I13" s="74">
        <v>612004.233484008</v>
      </c>
      <c r="J13" s="74">
        <v>1232018.5483411925</v>
      </c>
      <c r="K13" s="75">
        <v>1096987.6051282047</v>
      </c>
    </row>
    <row r="14" spans="1:11">
      <c r="B14" s="22" t="s">
        <v>72</v>
      </c>
      <c r="C14" s="53">
        <v>268709.01866697008</v>
      </c>
      <c r="D14" s="53">
        <v>220780.25997565966</v>
      </c>
      <c r="E14" s="53">
        <v>278343.08585373726</v>
      </c>
      <c r="F14" s="53">
        <v>310327.88849019876</v>
      </c>
      <c r="G14" s="53">
        <v>326283.58556477632</v>
      </c>
      <c r="H14" s="53">
        <v>330085.32020392094</v>
      </c>
      <c r="I14" s="74">
        <v>314809.73754713091</v>
      </c>
      <c r="J14" s="74">
        <v>447866.34520762332</v>
      </c>
      <c r="K14" s="75">
        <v>535368.10015790351</v>
      </c>
    </row>
    <row r="15" spans="1:11">
      <c r="B15" s="22" t="s">
        <v>73</v>
      </c>
      <c r="C15" s="53">
        <v>3679241.3393012802</v>
      </c>
      <c r="D15" s="53">
        <v>2232090.1027971799</v>
      </c>
      <c r="E15" s="53">
        <v>3060023.1585463071</v>
      </c>
      <c r="F15" s="53">
        <v>2275627.0702862572</v>
      </c>
      <c r="G15" s="53">
        <v>2258260.9043680234</v>
      </c>
      <c r="H15" s="53">
        <v>5293148.356470176</v>
      </c>
      <c r="I15" s="74">
        <v>2468019.6210311707</v>
      </c>
      <c r="J15" s="74">
        <v>6460588.1720286254</v>
      </c>
      <c r="K15" s="75">
        <v>6967514.6599453557</v>
      </c>
    </row>
    <row r="16" spans="1:11">
      <c r="B16" s="15" t="s">
        <v>74</v>
      </c>
      <c r="C16" s="53">
        <v>222102.77940425911</v>
      </c>
      <c r="D16" s="53">
        <v>170638.31030890593</v>
      </c>
      <c r="E16" s="53">
        <v>201295.66700125695</v>
      </c>
      <c r="F16" s="53">
        <v>289302.85272169235</v>
      </c>
      <c r="G16" s="53">
        <v>295601.71694674151</v>
      </c>
      <c r="H16" s="53">
        <v>387899.53565847763</v>
      </c>
      <c r="I16" s="74">
        <v>806392.2516701814</v>
      </c>
      <c r="J16" s="74">
        <v>1415219.7510588812</v>
      </c>
      <c r="K16" s="75">
        <v>2094006.490659113</v>
      </c>
    </row>
    <row r="17" spans="2:11">
      <c r="B17" s="15" t="s">
        <v>75</v>
      </c>
      <c r="C17" s="53">
        <v>415907.43115900591</v>
      </c>
      <c r="D17" s="53">
        <v>365300.22661841376</v>
      </c>
      <c r="E17" s="53">
        <v>346182.64524585631</v>
      </c>
      <c r="F17" s="53">
        <v>622880.22816150123</v>
      </c>
      <c r="G17" s="53">
        <v>554612.20337692637</v>
      </c>
      <c r="H17" s="53">
        <v>991443.31176940456</v>
      </c>
      <c r="I17" s="74">
        <v>1348944.2082514814</v>
      </c>
      <c r="J17" s="74">
        <v>1327302.3611361091</v>
      </c>
      <c r="K17" s="75">
        <v>898584.37265001051</v>
      </c>
    </row>
    <row r="18" spans="2:11" ht="15" thickBot="1">
      <c r="B18" s="73" t="s">
        <v>76</v>
      </c>
      <c r="C18" s="55">
        <v>204641.79935921414</v>
      </c>
      <c r="D18" s="55">
        <v>179452.91422859265</v>
      </c>
      <c r="E18" s="55">
        <v>199599.15560179736</v>
      </c>
      <c r="F18" s="55">
        <v>232309.65452641275</v>
      </c>
      <c r="G18" s="55">
        <v>303218.12601208437</v>
      </c>
      <c r="H18" s="55">
        <v>720006.13683981111</v>
      </c>
      <c r="I18" s="76">
        <v>61361.398274483916</v>
      </c>
      <c r="J18" s="76">
        <v>153636.80595321651</v>
      </c>
      <c r="K18" s="77">
        <v>448755.09650157776</v>
      </c>
    </row>
    <row r="19" spans="2:11" ht="15" thickBot="1"/>
    <row r="20" spans="2:11" ht="15" thickBot="1">
      <c r="B20" s="63" t="s">
        <v>77</v>
      </c>
      <c r="C20" s="64">
        <f t="shared" ref="C20:K20" si="0">SUM(C12:C18)</f>
        <v>5087934.6308069378</v>
      </c>
      <c r="D20" s="64">
        <f t="shared" si="0"/>
        <v>3467526.2846791986</v>
      </c>
      <c r="E20" s="64">
        <f t="shared" si="0"/>
        <v>5007734.2009222694</v>
      </c>
      <c r="F20" s="64">
        <f t="shared" si="0"/>
        <v>4669788.877148116</v>
      </c>
      <c r="G20" s="64">
        <f t="shared" si="0"/>
        <v>5320257.0425034408</v>
      </c>
      <c r="H20" s="64">
        <f t="shared" si="0"/>
        <v>8695542.5190220065</v>
      </c>
      <c r="I20" s="64">
        <f t="shared" si="0"/>
        <v>6947863.8837988647</v>
      </c>
      <c r="J20" s="64">
        <f t="shared" si="0"/>
        <v>13395874.601326816</v>
      </c>
      <c r="K20" s="65">
        <f t="shared" si="0"/>
        <v>14456344.880430119</v>
      </c>
    </row>
    <row r="22" spans="2:11">
      <c r="B22" s="46" t="s">
        <v>78</v>
      </c>
    </row>
    <row r="23" spans="2:11" ht="15" thickBot="1"/>
    <row r="24" spans="2:11">
      <c r="B24" s="124"/>
      <c r="C24" s="125">
        <v>2015</v>
      </c>
      <c r="D24" s="125">
        <v>2016</v>
      </c>
      <c r="E24" s="125">
        <v>2017</v>
      </c>
      <c r="F24" s="125">
        <v>2018</v>
      </c>
      <c r="G24" s="125">
        <v>2019</v>
      </c>
      <c r="H24" s="125">
        <v>2020</v>
      </c>
      <c r="I24" s="125">
        <v>2021</v>
      </c>
      <c r="J24" s="125">
        <v>2022</v>
      </c>
      <c r="K24" s="126">
        <v>2023</v>
      </c>
    </row>
    <row r="25" spans="2:11" ht="15" thickBot="1">
      <c r="B25" s="308" t="s">
        <v>79</v>
      </c>
      <c r="C25" s="309">
        <f>'6.2.IPC'!D15</f>
        <v>0.92279798291153847</v>
      </c>
      <c r="D25" s="309">
        <f>'6.2.IPC'!E15</f>
        <v>0.90187911057353298</v>
      </c>
      <c r="E25" s="309">
        <f>'6.2.IPC'!F15</f>
        <v>0.95984021240664996</v>
      </c>
      <c r="F25" s="309">
        <f>'6.2.IPC'!G15</f>
        <v>0.96479810980474456</v>
      </c>
      <c r="G25" s="309">
        <f>'6.2.IPC'!H15</f>
        <v>0.97046388283846141</v>
      </c>
      <c r="H25" s="309">
        <f>'6.2.IPC'!I15</f>
        <v>0.94342562972153088</v>
      </c>
      <c r="I25" s="309">
        <f>'6.2.IPC'!J15</f>
        <v>0.88323239381378138</v>
      </c>
      <c r="J25" s="309">
        <f>'6.2.IPC'!K15</f>
        <v>0.96392283588935623</v>
      </c>
      <c r="K25" s="310">
        <f>'6.2.IPC'!L15</f>
        <v>1.0530191030693534</v>
      </c>
    </row>
    <row r="27" spans="2:11">
      <c r="B27" s="46" t="s">
        <v>82</v>
      </c>
    </row>
    <row r="28" spans="2:11" ht="15" thickBot="1"/>
    <row r="29" spans="2:11" ht="15" thickBot="1">
      <c r="B29" s="68"/>
      <c r="C29" s="125">
        <v>2015</v>
      </c>
      <c r="D29" s="125">
        <v>2016</v>
      </c>
      <c r="E29" s="125">
        <v>2017</v>
      </c>
      <c r="F29" s="125">
        <v>2018</v>
      </c>
      <c r="G29" s="125">
        <v>2019</v>
      </c>
      <c r="H29" s="125">
        <v>2020</v>
      </c>
      <c r="I29" s="125">
        <v>2021</v>
      </c>
      <c r="J29" s="125">
        <v>2022</v>
      </c>
      <c r="K29" s="126">
        <v>2023</v>
      </c>
    </row>
    <row r="30" spans="2:11" ht="15" thickBot="1">
      <c r="B30" s="78" t="s">
        <v>81</v>
      </c>
      <c r="C30" s="64">
        <f>C20/C25</f>
        <v>5513595.3101608362</v>
      </c>
      <c r="D30" s="64">
        <f t="shared" ref="D30:K30" si="1">D20/D25</f>
        <v>3844779.46548079</v>
      </c>
      <c r="E30" s="64">
        <f t="shared" si="1"/>
        <v>5217258.1813030681</v>
      </c>
      <c r="F30" s="64">
        <f t="shared" si="1"/>
        <v>4840172.0833524289</v>
      </c>
      <c r="G30" s="64">
        <f t="shared" si="1"/>
        <v>5482179.3336012531</v>
      </c>
      <c r="H30" s="64">
        <f t="shared" si="1"/>
        <v>9216987.7996516302</v>
      </c>
      <c r="I30" s="64">
        <f t="shared" si="1"/>
        <v>7866405.1867460553</v>
      </c>
      <c r="J30" s="64">
        <f t="shared" si="1"/>
        <v>13897247.894295618</v>
      </c>
      <c r="K30" s="65">
        <f t="shared" si="1"/>
        <v>13728473.527491175</v>
      </c>
    </row>
    <row r="33" spans="2:3">
      <c r="B33" s="3"/>
      <c r="C33" s="373"/>
    </row>
    <row r="34" spans="2:3">
      <c r="B34" s="3"/>
      <c r="C34" s="373"/>
    </row>
    <row r="35" spans="2:3">
      <c r="B35" s="3"/>
      <c r="C35" s="373"/>
    </row>
    <row r="36" spans="2:3">
      <c r="B36" s="3"/>
      <c r="C36" s="11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92B1A-0B60-46ED-98DD-91AFB3A8C048}">
  <sheetPr>
    <tabColor theme="5" tint="-0.249977111117893"/>
  </sheetPr>
  <dimension ref="B3:C19"/>
  <sheetViews>
    <sheetView showGridLines="0" zoomScale="90" zoomScaleNormal="90" workbookViewId="0">
      <selection activeCell="H23" sqref="H23"/>
    </sheetView>
  </sheetViews>
  <sheetFormatPr baseColWidth="10" defaultColWidth="11.54296875" defaultRowHeight="14.5"/>
  <cols>
    <col min="1" max="1" width="11.54296875" style="3"/>
    <col min="2" max="2" width="24.81640625" style="3" bestFit="1" customWidth="1"/>
    <col min="3" max="3" width="24.453125" style="3" bestFit="1" customWidth="1"/>
    <col min="4" max="16384" width="11.54296875" style="3"/>
  </cols>
  <sheetData>
    <row r="3" spans="2:3">
      <c r="B3" s="2" t="s">
        <v>167</v>
      </c>
    </row>
    <row r="4" spans="2:3">
      <c r="B4" s="79"/>
    </row>
    <row r="5" spans="2:3" ht="15" thickBot="1">
      <c r="B5" s="79"/>
    </row>
    <row r="6" spans="2:3">
      <c r="B6" s="127" t="s">
        <v>92</v>
      </c>
      <c r="C6" s="128" t="s">
        <v>93</v>
      </c>
    </row>
    <row r="7" spans="2:3">
      <c r="B7" s="89" t="s">
        <v>94</v>
      </c>
      <c r="C7" s="90"/>
    </row>
    <row r="8" spans="2:3">
      <c r="B8" s="91" t="s">
        <v>95</v>
      </c>
      <c r="C8" s="129">
        <v>0.1349546222769053</v>
      </c>
    </row>
    <row r="9" spans="2:3">
      <c r="B9" s="93" t="s">
        <v>96</v>
      </c>
      <c r="C9" s="130">
        <v>0.10153796576147847</v>
      </c>
    </row>
    <row r="10" spans="2:3">
      <c r="B10" s="93" t="s">
        <v>97</v>
      </c>
      <c r="C10" s="130">
        <v>0.13835794972739199</v>
      </c>
    </row>
    <row r="11" spans="2:3">
      <c r="B11" s="93" t="s">
        <v>98</v>
      </c>
      <c r="C11" s="130">
        <v>7.9330622666384826E-2</v>
      </c>
    </row>
    <row r="12" spans="2:3">
      <c r="B12" s="93" t="s">
        <v>99</v>
      </c>
      <c r="C12" s="130">
        <v>0.12975169995141561</v>
      </c>
    </row>
    <row r="13" spans="2:3">
      <c r="B13" s="95" t="s">
        <v>100</v>
      </c>
      <c r="C13" s="131">
        <v>0.10891767088588047</v>
      </c>
    </row>
    <row r="14" spans="2:3">
      <c r="B14" s="89" t="s">
        <v>222</v>
      </c>
      <c r="C14" s="331"/>
    </row>
    <row r="15" spans="2:3">
      <c r="B15" s="91" t="s">
        <v>101</v>
      </c>
      <c r="C15" s="129">
        <v>0.23177970043185064</v>
      </c>
    </row>
    <row r="16" spans="2:3" ht="15" thickBot="1">
      <c r="B16" s="98" t="s">
        <v>102</v>
      </c>
      <c r="C16" s="132">
        <v>3.4771204606577191E-2</v>
      </c>
    </row>
    <row r="17" spans="2:3">
      <c r="B17" s="89" t="s">
        <v>223</v>
      </c>
      <c r="C17" s="331"/>
    </row>
    <row r="18" spans="2:3">
      <c r="B18" s="91" t="s">
        <v>85</v>
      </c>
      <c r="C18" s="332">
        <v>3.3333333333333333E-2</v>
      </c>
    </row>
    <row r="19" spans="2:3" ht="15" thickBot="1">
      <c r="B19" s="98" t="s">
        <v>86</v>
      </c>
      <c r="C19" s="333">
        <v>0.1</v>
      </c>
    </row>
  </sheetData>
  <conditionalFormatting sqref="B3:B19">
    <cfRule type="duplicateValues" dxfId="0" priority="3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B0C2F-5B48-42DD-85F4-48B5544A9B30}">
  <sheetPr>
    <tabColor theme="5" tint="-0.249977111117893"/>
  </sheetPr>
  <dimension ref="B2:L47"/>
  <sheetViews>
    <sheetView showGridLines="0" topLeftCell="A4" zoomScale="90" zoomScaleNormal="90" workbookViewId="0">
      <selection activeCell="D13" sqref="D13"/>
    </sheetView>
  </sheetViews>
  <sheetFormatPr baseColWidth="10" defaultColWidth="21" defaultRowHeight="14.5"/>
  <cols>
    <col min="1" max="1" width="9" style="3" customWidth="1"/>
    <col min="2" max="2" width="24.7265625" style="3" customWidth="1"/>
    <col min="3" max="5" width="10.7265625" style="3" bestFit="1" customWidth="1"/>
    <col min="6" max="6" width="11.453125" style="3" bestFit="1" customWidth="1"/>
    <col min="7" max="7" width="10.7265625" style="3" bestFit="1" customWidth="1"/>
    <col min="8" max="8" width="11.81640625" style="3" bestFit="1" customWidth="1"/>
    <col min="9" max="9" width="13" style="3" bestFit="1" customWidth="1"/>
    <col min="10" max="11" width="11.81640625" style="3" bestFit="1" customWidth="1"/>
    <col min="12" max="12" width="12.1796875" style="3" bestFit="1" customWidth="1"/>
    <col min="13" max="16384" width="21" style="3"/>
  </cols>
  <sheetData>
    <row r="2" spans="2:12">
      <c r="B2" s="2" t="s">
        <v>103</v>
      </c>
    </row>
    <row r="5" spans="2:12">
      <c r="B5" s="50" t="s">
        <v>104</v>
      </c>
    </row>
    <row r="6" spans="2:12" ht="15" thickBot="1"/>
    <row r="7" spans="2:12">
      <c r="B7" s="88"/>
      <c r="C7" s="311">
        <v>2014</v>
      </c>
      <c r="D7" s="311">
        <v>2015</v>
      </c>
      <c r="E7" s="311">
        <v>2016</v>
      </c>
      <c r="F7" s="311">
        <v>2017</v>
      </c>
      <c r="G7" s="311">
        <v>2018</v>
      </c>
      <c r="H7" s="311">
        <v>2019</v>
      </c>
      <c r="I7" s="311">
        <v>2020</v>
      </c>
      <c r="J7" s="311">
        <v>2021</v>
      </c>
      <c r="K7" s="311">
        <v>2022</v>
      </c>
      <c r="L7" s="312">
        <v>2023</v>
      </c>
    </row>
    <row r="8" spans="2:12">
      <c r="B8" s="89" t="s">
        <v>94</v>
      </c>
      <c r="C8" s="80"/>
      <c r="D8" s="80"/>
      <c r="E8" s="80"/>
      <c r="F8" s="80"/>
      <c r="G8" s="80"/>
      <c r="H8" s="80"/>
      <c r="I8" s="80"/>
      <c r="J8" s="80"/>
      <c r="K8" s="80"/>
      <c r="L8" s="90"/>
    </row>
    <row r="9" spans="2:12">
      <c r="B9" s="91" t="s">
        <v>95</v>
      </c>
      <c r="C9" s="85">
        <v>109000</v>
      </c>
      <c r="D9" s="85">
        <v>2000</v>
      </c>
      <c r="E9" s="85">
        <v>17000</v>
      </c>
      <c r="F9" s="85">
        <v>-8000</v>
      </c>
      <c r="G9" s="85">
        <v>255000</v>
      </c>
      <c r="H9" s="85">
        <v>18000</v>
      </c>
      <c r="I9" s="85">
        <v>47000</v>
      </c>
      <c r="J9" s="85">
        <v>197000</v>
      </c>
      <c r="K9" s="85">
        <v>10000</v>
      </c>
      <c r="L9" s="92">
        <v>205000</v>
      </c>
    </row>
    <row r="10" spans="2:12">
      <c r="B10" s="93" t="s">
        <v>96</v>
      </c>
      <c r="C10" s="86">
        <v>0</v>
      </c>
      <c r="D10" s="86">
        <v>1473000</v>
      </c>
      <c r="E10" s="86">
        <v>2062000</v>
      </c>
      <c r="F10" s="86">
        <v>-2863000</v>
      </c>
      <c r="G10" s="86">
        <v>130000</v>
      </c>
      <c r="H10" s="86">
        <v>-345000</v>
      </c>
      <c r="I10" s="86">
        <v>-187000</v>
      </c>
      <c r="J10" s="86">
        <v>335000</v>
      </c>
      <c r="K10" s="86">
        <v>276000</v>
      </c>
      <c r="L10" s="94">
        <v>1000</v>
      </c>
    </row>
    <row r="11" spans="2:12">
      <c r="B11" s="93" t="s">
        <v>97</v>
      </c>
      <c r="C11" s="86">
        <v>34000</v>
      </c>
      <c r="D11" s="86">
        <v>72000</v>
      </c>
      <c r="E11" s="86">
        <v>15000</v>
      </c>
      <c r="F11" s="86">
        <v>18000</v>
      </c>
      <c r="G11" s="86">
        <v>158000</v>
      </c>
      <c r="H11" s="86">
        <v>64000</v>
      </c>
      <c r="I11" s="86">
        <v>0</v>
      </c>
      <c r="J11" s="86">
        <v>0</v>
      </c>
      <c r="K11" s="86">
        <v>30000</v>
      </c>
      <c r="L11" s="94">
        <v>0</v>
      </c>
    </row>
    <row r="12" spans="2:12">
      <c r="B12" s="93" t="s">
        <v>98</v>
      </c>
      <c r="C12" s="86">
        <v>20000</v>
      </c>
      <c r="D12" s="86">
        <v>34000</v>
      </c>
      <c r="E12" s="86">
        <v>6000</v>
      </c>
      <c r="F12" s="86">
        <v>11000</v>
      </c>
      <c r="G12" s="86">
        <v>35000</v>
      </c>
      <c r="H12" s="86">
        <v>31000</v>
      </c>
      <c r="I12" s="86">
        <v>0</v>
      </c>
      <c r="J12" s="86">
        <v>5000</v>
      </c>
      <c r="K12" s="86">
        <v>2000</v>
      </c>
      <c r="L12" s="94">
        <v>0</v>
      </c>
    </row>
    <row r="13" spans="2:12">
      <c r="B13" s="93" t="s">
        <v>99</v>
      </c>
      <c r="C13" s="86">
        <v>4000</v>
      </c>
      <c r="D13" s="86">
        <v>187000</v>
      </c>
      <c r="E13" s="86">
        <v>139000</v>
      </c>
      <c r="F13" s="86">
        <v>269000</v>
      </c>
      <c r="G13" s="86">
        <v>62000</v>
      </c>
      <c r="H13" s="86">
        <v>336000</v>
      </c>
      <c r="I13" s="86">
        <v>169000</v>
      </c>
      <c r="J13" s="86">
        <v>78000</v>
      </c>
      <c r="K13" s="86">
        <v>-48000</v>
      </c>
      <c r="L13" s="94">
        <v>329000</v>
      </c>
    </row>
    <row r="14" spans="2:12">
      <c r="B14" s="95" t="s">
        <v>100</v>
      </c>
      <c r="C14" s="87">
        <v>18000</v>
      </c>
      <c r="D14" s="87">
        <v>33000</v>
      </c>
      <c r="E14" s="87">
        <v>20000</v>
      </c>
      <c r="F14" s="87">
        <v>62000</v>
      </c>
      <c r="G14" s="87">
        <v>27000</v>
      </c>
      <c r="H14" s="87">
        <v>12000</v>
      </c>
      <c r="I14" s="87">
        <v>0</v>
      </c>
      <c r="J14" s="87">
        <v>3000</v>
      </c>
      <c r="K14" s="87">
        <v>12000</v>
      </c>
      <c r="L14" s="96">
        <v>3000</v>
      </c>
    </row>
    <row r="15" spans="2:12">
      <c r="B15" s="89" t="s">
        <v>222</v>
      </c>
      <c r="C15" s="81"/>
      <c r="D15" s="81"/>
      <c r="E15" s="81"/>
      <c r="F15" s="81"/>
      <c r="G15" s="81"/>
      <c r="H15" s="81"/>
      <c r="I15" s="81"/>
      <c r="J15" s="81"/>
      <c r="K15" s="81"/>
      <c r="L15" s="97"/>
    </row>
    <row r="16" spans="2:12">
      <c r="B16" s="91" t="s">
        <v>101</v>
      </c>
      <c r="C16" s="85">
        <v>6000</v>
      </c>
      <c r="D16" s="85">
        <v>41000</v>
      </c>
      <c r="E16" s="85">
        <v>162000</v>
      </c>
      <c r="F16" s="85">
        <v>107000</v>
      </c>
      <c r="G16" s="85">
        <v>59000</v>
      </c>
      <c r="H16" s="85">
        <v>24000</v>
      </c>
      <c r="I16" s="85">
        <v>30000</v>
      </c>
      <c r="J16" s="85">
        <v>18000</v>
      </c>
      <c r="K16" s="85">
        <v>81000</v>
      </c>
      <c r="L16" s="92">
        <v>27000</v>
      </c>
    </row>
    <row r="17" spans="2:12" ht="15" thickBot="1">
      <c r="B17" s="98" t="s">
        <v>102</v>
      </c>
      <c r="C17" s="99">
        <v>1178000</v>
      </c>
      <c r="D17" s="99">
        <v>5000</v>
      </c>
      <c r="E17" s="99">
        <v>0</v>
      </c>
      <c r="F17" s="99">
        <v>3562000</v>
      </c>
      <c r="G17" s="99">
        <v>920000</v>
      </c>
      <c r="H17" s="99">
        <v>63116000</v>
      </c>
      <c r="I17" s="99">
        <v>125369000</v>
      </c>
      <c r="J17" s="99">
        <v>11324000</v>
      </c>
      <c r="K17" s="99">
        <v>155000</v>
      </c>
      <c r="L17" s="100">
        <v>5445000</v>
      </c>
    </row>
    <row r="19" spans="2:12">
      <c r="D19" s="313"/>
      <c r="L19" s="313"/>
    </row>
    <row r="20" spans="2:12">
      <c r="B20" s="50" t="s">
        <v>105</v>
      </c>
    </row>
    <row r="21" spans="2:12" ht="15" thickBot="1"/>
    <row r="22" spans="2:12">
      <c r="B22" s="88"/>
      <c r="C22" s="311">
        <v>2014</v>
      </c>
      <c r="D22" s="311">
        <v>2015</v>
      </c>
      <c r="E22" s="311">
        <v>2016</v>
      </c>
      <c r="F22" s="311">
        <v>2017</v>
      </c>
      <c r="G22" s="311">
        <v>2018</v>
      </c>
      <c r="H22" s="311">
        <v>2019</v>
      </c>
      <c r="I22" s="311">
        <v>2020</v>
      </c>
      <c r="J22" s="311">
        <v>2021</v>
      </c>
      <c r="K22" s="311">
        <v>2022</v>
      </c>
      <c r="L22" s="312">
        <v>2023</v>
      </c>
    </row>
    <row r="23" spans="2:12">
      <c r="B23" s="89" t="s">
        <v>94</v>
      </c>
      <c r="C23" s="80"/>
      <c r="D23" s="80"/>
      <c r="E23" s="80"/>
      <c r="F23" s="80"/>
      <c r="G23" s="80"/>
      <c r="H23" s="80"/>
      <c r="I23" s="80"/>
      <c r="J23" s="80"/>
      <c r="K23" s="80"/>
      <c r="L23" s="90"/>
    </row>
    <row r="24" spans="2:12">
      <c r="B24" s="91" t="s">
        <v>95</v>
      </c>
      <c r="C24" s="85">
        <v>2000</v>
      </c>
      <c r="D24" s="85">
        <v>22000</v>
      </c>
      <c r="E24" s="85">
        <v>46000</v>
      </c>
      <c r="F24" s="85">
        <v>69000</v>
      </c>
      <c r="G24" s="85">
        <v>118000</v>
      </c>
      <c r="H24" s="85">
        <v>198000</v>
      </c>
      <c r="I24" s="85">
        <v>262000</v>
      </c>
      <c r="J24" s="85">
        <v>348000</v>
      </c>
      <c r="K24" s="85">
        <v>429000</v>
      </c>
      <c r="L24" s="92">
        <v>534000</v>
      </c>
    </row>
    <row r="25" spans="2:12">
      <c r="B25" s="93" t="s">
        <v>96</v>
      </c>
      <c r="C25" s="86">
        <v>0</v>
      </c>
      <c r="D25" s="86">
        <v>106000</v>
      </c>
      <c r="E25" s="86">
        <v>419000</v>
      </c>
      <c r="F25" s="86">
        <v>32000</v>
      </c>
      <c r="G25" s="86">
        <v>84000</v>
      </c>
      <c r="H25" s="86">
        <v>48000</v>
      </c>
      <c r="I25" s="86">
        <v>52000</v>
      </c>
      <c r="J25" s="86">
        <v>87000</v>
      </c>
      <c r="K25" s="86">
        <v>150000</v>
      </c>
      <c r="L25" s="94">
        <v>221000</v>
      </c>
    </row>
    <row r="26" spans="2:12">
      <c r="B26" s="93" t="s">
        <v>97</v>
      </c>
      <c r="C26" s="86">
        <v>1000</v>
      </c>
      <c r="D26" s="86">
        <v>25000</v>
      </c>
      <c r="E26" s="86">
        <v>48000</v>
      </c>
      <c r="F26" s="86">
        <v>77000</v>
      </c>
      <c r="G26" s="86">
        <v>87000</v>
      </c>
      <c r="H26" s="86">
        <v>129000</v>
      </c>
      <c r="I26" s="86">
        <v>181000</v>
      </c>
      <c r="J26" s="86">
        <v>221000</v>
      </c>
      <c r="K26" s="86">
        <v>260000</v>
      </c>
      <c r="L26" s="94">
        <v>290000</v>
      </c>
    </row>
    <row r="27" spans="2:12">
      <c r="B27" s="93" t="s">
        <v>98</v>
      </c>
      <c r="C27" s="86">
        <v>1000</v>
      </c>
      <c r="D27" s="86">
        <v>10000</v>
      </c>
      <c r="E27" s="86">
        <v>19000</v>
      </c>
      <c r="F27" s="86">
        <v>28000</v>
      </c>
      <c r="G27" s="86">
        <v>40000</v>
      </c>
      <c r="H27" s="86">
        <v>55000</v>
      </c>
      <c r="I27" s="86">
        <v>71000</v>
      </c>
      <c r="J27" s="86">
        <v>86000</v>
      </c>
      <c r="K27" s="86">
        <v>102000</v>
      </c>
      <c r="L27" s="94">
        <v>118000</v>
      </c>
    </row>
    <row r="28" spans="2:12">
      <c r="B28" s="93" t="s">
        <v>99</v>
      </c>
      <c r="C28" s="86">
        <v>0</v>
      </c>
      <c r="D28" s="86">
        <v>20000</v>
      </c>
      <c r="E28" s="86">
        <v>88000</v>
      </c>
      <c r="F28" s="86">
        <v>183000</v>
      </c>
      <c r="G28" s="86">
        <v>278000</v>
      </c>
      <c r="H28" s="86">
        <v>407000</v>
      </c>
      <c r="I28" s="86">
        <v>575000</v>
      </c>
      <c r="J28" s="86">
        <v>734000</v>
      </c>
      <c r="K28" s="86">
        <v>840000</v>
      </c>
      <c r="L28" s="94">
        <v>1022000</v>
      </c>
    </row>
    <row r="29" spans="2:12">
      <c r="B29" s="95" t="s">
        <v>100</v>
      </c>
      <c r="C29" s="87">
        <v>1000</v>
      </c>
      <c r="D29" s="87">
        <v>12000</v>
      </c>
      <c r="E29" s="87">
        <v>12000</v>
      </c>
      <c r="F29" s="87">
        <v>38000</v>
      </c>
      <c r="G29" s="87">
        <v>93000</v>
      </c>
      <c r="H29" s="87">
        <v>124000</v>
      </c>
      <c r="I29" s="87">
        <v>148000</v>
      </c>
      <c r="J29" s="87">
        <v>163000</v>
      </c>
      <c r="K29" s="87">
        <v>167000</v>
      </c>
      <c r="L29" s="96">
        <v>167000</v>
      </c>
    </row>
    <row r="30" spans="2:12">
      <c r="B30" s="89" t="s">
        <v>222</v>
      </c>
      <c r="C30" s="81"/>
      <c r="D30" s="81"/>
      <c r="E30" s="81"/>
      <c r="F30" s="81"/>
      <c r="G30" s="81"/>
      <c r="H30" s="81"/>
      <c r="I30" s="81"/>
      <c r="J30" s="81"/>
      <c r="K30" s="81"/>
      <c r="L30" s="97"/>
    </row>
    <row r="31" spans="2:12">
      <c r="B31" s="91" t="s">
        <v>101</v>
      </c>
      <c r="C31" s="85">
        <v>1000</v>
      </c>
      <c r="D31" s="85">
        <v>21000</v>
      </c>
      <c r="E31" s="85">
        <v>177000</v>
      </c>
      <c r="F31" s="85">
        <v>256000</v>
      </c>
      <c r="G31" s="85">
        <v>359000</v>
      </c>
      <c r="H31" s="85">
        <v>382000</v>
      </c>
      <c r="I31" s="85">
        <v>398000</v>
      </c>
      <c r="J31" s="85">
        <v>428000</v>
      </c>
      <c r="K31" s="85">
        <v>479000</v>
      </c>
      <c r="L31" s="92">
        <v>541000</v>
      </c>
    </row>
    <row r="32" spans="2:12" ht="15" thickBot="1">
      <c r="B32" s="98" t="s">
        <v>102</v>
      </c>
      <c r="C32" s="99">
        <v>13000</v>
      </c>
      <c r="D32" s="99">
        <v>47000</v>
      </c>
      <c r="E32" s="99">
        <v>80000</v>
      </c>
      <c r="F32" s="99">
        <v>888000</v>
      </c>
      <c r="G32" s="99">
        <v>1322000</v>
      </c>
      <c r="H32" s="99">
        <v>2569000</v>
      </c>
      <c r="I32" s="99">
        <v>8550000</v>
      </c>
      <c r="J32" s="99">
        <v>16756000</v>
      </c>
      <c r="K32" s="99">
        <v>25264000</v>
      </c>
      <c r="L32" s="100">
        <v>34260000</v>
      </c>
    </row>
    <row r="35" spans="2:12">
      <c r="B35" s="50" t="s">
        <v>106</v>
      </c>
    </row>
    <row r="36" spans="2:12" ht="15" thickBot="1"/>
    <row r="37" spans="2:12">
      <c r="B37" s="88"/>
      <c r="C37" s="311">
        <v>2014</v>
      </c>
      <c r="D37" s="311">
        <v>2015</v>
      </c>
      <c r="E37" s="311">
        <v>2016</v>
      </c>
      <c r="F37" s="311">
        <v>2017</v>
      </c>
      <c r="G37" s="311">
        <v>2018</v>
      </c>
      <c r="H37" s="311">
        <v>2019</v>
      </c>
      <c r="I37" s="311">
        <v>2020</v>
      </c>
      <c r="J37" s="311">
        <v>2021</v>
      </c>
      <c r="K37" s="311">
        <v>2022</v>
      </c>
      <c r="L37" s="312">
        <v>2023</v>
      </c>
    </row>
    <row r="38" spans="2:12">
      <c r="B38" s="89" t="s">
        <v>94</v>
      </c>
      <c r="C38" s="80"/>
      <c r="D38" s="80"/>
      <c r="E38" s="80"/>
      <c r="F38" s="80"/>
      <c r="G38" s="80"/>
      <c r="H38" s="80"/>
      <c r="I38" s="80"/>
      <c r="J38" s="80"/>
      <c r="K38" s="80"/>
      <c r="L38" s="90"/>
    </row>
    <row r="39" spans="2:12">
      <c r="B39" s="91" t="s">
        <v>95</v>
      </c>
      <c r="C39" s="85">
        <v>0</v>
      </c>
      <c r="D39" s="85">
        <v>0</v>
      </c>
      <c r="E39" s="85">
        <v>31000</v>
      </c>
      <c r="F39" s="85">
        <v>0</v>
      </c>
      <c r="G39" s="85">
        <v>0</v>
      </c>
      <c r="H39" s="85">
        <v>0</v>
      </c>
      <c r="I39" s="85">
        <v>0</v>
      </c>
      <c r="J39" s="85">
        <v>0</v>
      </c>
      <c r="K39" s="85">
        <v>0</v>
      </c>
      <c r="L39" s="92">
        <v>0</v>
      </c>
    </row>
    <row r="40" spans="2:12">
      <c r="B40" s="93" t="s">
        <v>96</v>
      </c>
      <c r="C40" s="86">
        <v>0</v>
      </c>
      <c r="D40" s="86">
        <v>0</v>
      </c>
      <c r="E40" s="86">
        <v>20000</v>
      </c>
      <c r="F40" s="86">
        <v>0</v>
      </c>
      <c r="G40" s="86">
        <v>0</v>
      </c>
      <c r="H40" s="86">
        <v>0</v>
      </c>
      <c r="I40" s="86">
        <v>-38000</v>
      </c>
      <c r="J40" s="86">
        <v>0</v>
      </c>
      <c r="K40" s="86">
        <v>0</v>
      </c>
      <c r="L40" s="94">
        <v>-41000</v>
      </c>
    </row>
    <row r="41" spans="2:12">
      <c r="B41" s="93" t="s">
        <v>97</v>
      </c>
      <c r="C41" s="86">
        <v>0</v>
      </c>
      <c r="D41" s="86">
        <v>24000</v>
      </c>
      <c r="E41" s="86">
        <v>0</v>
      </c>
      <c r="F41" s="86">
        <v>0</v>
      </c>
      <c r="G41" s="86">
        <v>-49000</v>
      </c>
      <c r="H41" s="86">
        <v>-32000</v>
      </c>
      <c r="I41" s="86">
        <v>0</v>
      </c>
      <c r="J41" s="86">
        <v>0</v>
      </c>
      <c r="K41" s="86">
        <v>0</v>
      </c>
      <c r="L41" s="94">
        <v>0</v>
      </c>
    </row>
    <row r="42" spans="2:12">
      <c r="B42" s="93" t="s">
        <v>98</v>
      </c>
      <c r="C42" s="86">
        <v>0</v>
      </c>
      <c r="D42" s="86">
        <v>47000</v>
      </c>
      <c r="E42" s="86">
        <v>0</v>
      </c>
      <c r="F42" s="86">
        <v>0</v>
      </c>
      <c r="G42" s="86">
        <v>0</v>
      </c>
      <c r="H42" s="86">
        <v>0</v>
      </c>
      <c r="I42" s="86">
        <v>0</v>
      </c>
      <c r="J42" s="86">
        <v>0</v>
      </c>
      <c r="K42" s="86">
        <v>0</v>
      </c>
      <c r="L42" s="94">
        <v>0</v>
      </c>
    </row>
    <row r="43" spans="2:12">
      <c r="B43" s="93" t="s">
        <v>99</v>
      </c>
      <c r="C43" s="86">
        <v>0</v>
      </c>
      <c r="D43" s="86">
        <v>1000</v>
      </c>
      <c r="E43" s="86">
        <v>0</v>
      </c>
      <c r="F43" s="86">
        <v>0</v>
      </c>
      <c r="G43" s="86">
        <v>0</v>
      </c>
      <c r="H43" s="86">
        <v>-20000</v>
      </c>
      <c r="I43" s="86">
        <v>0</v>
      </c>
      <c r="J43" s="86">
        <v>0</v>
      </c>
      <c r="K43" s="86">
        <v>0</v>
      </c>
      <c r="L43" s="94">
        <v>-1000</v>
      </c>
    </row>
    <row r="44" spans="2:12">
      <c r="B44" s="95" t="s">
        <v>100</v>
      </c>
      <c r="C44" s="87">
        <v>0</v>
      </c>
      <c r="D44" s="87">
        <v>9000</v>
      </c>
      <c r="E44" s="87">
        <v>0</v>
      </c>
      <c r="F44" s="87">
        <v>0</v>
      </c>
      <c r="G44" s="87">
        <v>0</v>
      </c>
      <c r="H44" s="87">
        <v>0</v>
      </c>
      <c r="I44" s="87">
        <v>0</v>
      </c>
      <c r="J44" s="87">
        <v>0</v>
      </c>
      <c r="K44" s="87">
        <v>-3000</v>
      </c>
      <c r="L44" s="96">
        <v>-7000</v>
      </c>
    </row>
    <row r="45" spans="2:12">
      <c r="B45" s="89" t="s">
        <v>222</v>
      </c>
      <c r="C45" s="81"/>
      <c r="D45" s="81"/>
      <c r="E45" s="81"/>
      <c r="F45" s="81"/>
      <c r="G45" s="81"/>
      <c r="H45" s="81"/>
      <c r="I45" s="81"/>
      <c r="J45" s="81"/>
      <c r="K45" s="81"/>
      <c r="L45" s="97"/>
    </row>
    <row r="46" spans="2:12">
      <c r="B46" s="91" t="s">
        <v>101</v>
      </c>
      <c r="C46" s="85">
        <v>0</v>
      </c>
      <c r="D46" s="85">
        <v>0</v>
      </c>
      <c r="E46" s="85">
        <v>-3000</v>
      </c>
      <c r="F46" s="85">
        <v>0</v>
      </c>
      <c r="G46" s="85">
        <v>0</v>
      </c>
      <c r="H46" s="85">
        <v>0</v>
      </c>
      <c r="I46" s="85">
        <v>0</v>
      </c>
      <c r="J46" s="85">
        <v>0</v>
      </c>
      <c r="K46" s="85">
        <v>0</v>
      </c>
      <c r="L46" s="92">
        <v>0</v>
      </c>
    </row>
    <row r="47" spans="2:12" ht="15" thickBot="1">
      <c r="B47" s="98" t="s">
        <v>102</v>
      </c>
      <c r="C47" s="99">
        <v>0</v>
      </c>
      <c r="D47" s="99">
        <v>-2000</v>
      </c>
      <c r="E47" s="99">
        <v>0</v>
      </c>
      <c r="F47" s="99">
        <v>0</v>
      </c>
      <c r="G47" s="99">
        <v>0</v>
      </c>
      <c r="H47" s="99">
        <v>0</v>
      </c>
      <c r="I47" s="99">
        <v>0</v>
      </c>
      <c r="J47" s="99">
        <v>-63000</v>
      </c>
      <c r="K47" s="99">
        <v>7000</v>
      </c>
      <c r="L47" s="100">
        <v>-354000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32D9A-E2BE-4BBC-988A-C96C13EA8CE1}">
  <sheetPr>
    <tabColor theme="5" tint="-0.249977111117893"/>
  </sheetPr>
  <dimension ref="B3:L16"/>
  <sheetViews>
    <sheetView showGridLines="0" zoomScale="90" zoomScaleNormal="90" workbookViewId="0">
      <selection activeCell="E12" sqref="E12"/>
    </sheetView>
  </sheetViews>
  <sheetFormatPr baseColWidth="10" defaultRowHeight="14.5"/>
  <cols>
    <col min="2" max="2" width="23" bestFit="1" customWidth="1"/>
    <col min="8" max="8" width="12.1796875" bestFit="1" customWidth="1"/>
    <col min="9" max="12" width="13.26953125" bestFit="1" customWidth="1"/>
  </cols>
  <sheetData>
    <row r="3" spans="2:12">
      <c r="B3" s="2" t="s">
        <v>218</v>
      </c>
    </row>
    <row r="5" spans="2:12" ht="15" thickBot="1"/>
    <row r="6" spans="2:12">
      <c r="B6" s="88"/>
      <c r="C6" s="311">
        <v>2014</v>
      </c>
      <c r="D6" s="311">
        <v>2015</v>
      </c>
      <c r="E6" s="311">
        <v>2016</v>
      </c>
      <c r="F6" s="311">
        <v>2017</v>
      </c>
      <c r="G6" s="311">
        <v>2018</v>
      </c>
      <c r="H6" s="311">
        <v>2019</v>
      </c>
      <c r="I6" s="311">
        <v>2020</v>
      </c>
      <c r="J6" s="311">
        <v>2021</v>
      </c>
      <c r="K6" s="311">
        <v>2022</v>
      </c>
      <c r="L6" s="312">
        <v>2023</v>
      </c>
    </row>
    <row r="7" spans="2:12">
      <c r="B7" s="89" t="s">
        <v>94</v>
      </c>
      <c r="C7" s="80"/>
      <c r="D7" s="80"/>
      <c r="E7" s="80"/>
      <c r="F7" s="80"/>
      <c r="G7" s="80"/>
      <c r="H7" s="80"/>
      <c r="I7" s="80"/>
      <c r="J7" s="80"/>
      <c r="K7" s="80"/>
      <c r="L7" s="90"/>
    </row>
    <row r="8" spans="2:12">
      <c r="B8" s="91" t="s">
        <v>95</v>
      </c>
      <c r="C8" s="85">
        <f>'2.2.3.2.Inv-Depr-Ajus'!C9-'2.2.3.2.Inv-Depr-Ajus'!C24+'2.2.3.2.Inv-Depr-Ajus'!C39</f>
        <v>107000</v>
      </c>
      <c r="D8" s="85">
        <f>C8+'2.2.3.2.Inv-Depr-Ajus'!D9-'2.2.3.2.Inv-Depr-Ajus'!D24+'2.2.3.2.Inv-Depr-Ajus'!D39+'2.2.3.2.Inv-Depr-Ajus'!C24</f>
        <v>89000</v>
      </c>
      <c r="E8" s="85">
        <f>D8+'2.2.3.2.Inv-Depr-Ajus'!E9-'2.2.3.2.Inv-Depr-Ajus'!E24+'2.2.3.2.Inv-Depr-Ajus'!E39+'2.2.3.2.Inv-Depr-Ajus'!D24</f>
        <v>113000</v>
      </c>
      <c r="F8" s="85">
        <f>E8+'2.2.3.2.Inv-Depr-Ajus'!F9-'2.2.3.2.Inv-Depr-Ajus'!F24+'2.2.3.2.Inv-Depr-Ajus'!F39+'2.2.3.2.Inv-Depr-Ajus'!E24</f>
        <v>82000</v>
      </c>
      <c r="G8" s="85">
        <f>F8+'2.2.3.2.Inv-Depr-Ajus'!G9-'2.2.3.2.Inv-Depr-Ajus'!G24+'2.2.3.2.Inv-Depr-Ajus'!G39+'2.2.3.2.Inv-Depr-Ajus'!F24</f>
        <v>288000</v>
      </c>
      <c r="H8" s="85">
        <f>G8+'2.2.3.2.Inv-Depr-Ajus'!H9-'2.2.3.2.Inv-Depr-Ajus'!H24+'2.2.3.2.Inv-Depr-Ajus'!H39+'2.2.3.2.Inv-Depr-Ajus'!G24</f>
        <v>226000</v>
      </c>
      <c r="I8" s="85">
        <f>H8+'2.2.3.2.Inv-Depr-Ajus'!I9-'2.2.3.2.Inv-Depr-Ajus'!I24+'2.2.3.2.Inv-Depr-Ajus'!I39+'2.2.3.2.Inv-Depr-Ajus'!H24</f>
        <v>209000</v>
      </c>
      <c r="J8" s="85">
        <f>I8+'2.2.3.2.Inv-Depr-Ajus'!J9-'2.2.3.2.Inv-Depr-Ajus'!J24+'2.2.3.2.Inv-Depr-Ajus'!J39+'2.2.3.2.Inv-Depr-Ajus'!I24</f>
        <v>320000</v>
      </c>
      <c r="K8" s="85">
        <f>J8+'2.2.3.2.Inv-Depr-Ajus'!K9-'2.2.3.2.Inv-Depr-Ajus'!K24+'2.2.3.2.Inv-Depr-Ajus'!K39+'2.2.3.2.Inv-Depr-Ajus'!J24</f>
        <v>249000</v>
      </c>
      <c r="L8" s="92">
        <f>K8+'2.2.3.2.Inv-Depr-Ajus'!L9-'2.2.3.2.Inv-Depr-Ajus'!L24+'2.2.3.2.Inv-Depr-Ajus'!L39+'2.2.3.2.Inv-Depr-Ajus'!K24</f>
        <v>349000</v>
      </c>
    </row>
    <row r="9" spans="2:12">
      <c r="B9" s="93" t="s">
        <v>96</v>
      </c>
      <c r="C9" s="86">
        <f>'2.2.3.2.Inv-Depr-Ajus'!C10-'2.2.3.2.Inv-Depr-Ajus'!C25+'2.2.3.2.Inv-Depr-Ajus'!C40</f>
        <v>0</v>
      </c>
      <c r="D9" s="86">
        <f>C9+'2.2.3.2.Inv-Depr-Ajus'!D10-'2.2.3.2.Inv-Depr-Ajus'!D25+'2.2.3.2.Inv-Depr-Ajus'!D40+'2.2.3.2.Inv-Depr-Ajus'!C25</f>
        <v>1367000</v>
      </c>
      <c r="E9" s="86">
        <f>D9+'2.2.3.2.Inv-Depr-Ajus'!E10-'2.2.3.2.Inv-Depr-Ajus'!E25+'2.2.3.2.Inv-Depr-Ajus'!E40+'2.2.3.2.Inv-Depr-Ajus'!D25</f>
        <v>3136000</v>
      </c>
      <c r="F9" s="86">
        <f>E9+'2.2.3.2.Inv-Depr-Ajus'!F10-'2.2.3.2.Inv-Depr-Ajus'!F25+'2.2.3.2.Inv-Depr-Ajus'!F40+'2.2.3.2.Inv-Depr-Ajus'!E25</f>
        <v>660000</v>
      </c>
      <c r="G9" s="86">
        <f>F9+'2.2.3.2.Inv-Depr-Ajus'!G10-'2.2.3.2.Inv-Depr-Ajus'!G25+'2.2.3.2.Inv-Depr-Ajus'!G40+'2.2.3.2.Inv-Depr-Ajus'!F25</f>
        <v>738000</v>
      </c>
      <c r="H9" s="86">
        <f>G9+'2.2.3.2.Inv-Depr-Ajus'!H10-'2.2.3.2.Inv-Depr-Ajus'!H25+'2.2.3.2.Inv-Depr-Ajus'!H40+'2.2.3.2.Inv-Depr-Ajus'!G25</f>
        <v>429000</v>
      </c>
      <c r="I9" s="86">
        <f>H9+'2.2.3.2.Inv-Depr-Ajus'!I10-'2.2.3.2.Inv-Depr-Ajus'!I25+'2.2.3.2.Inv-Depr-Ajus'!I40+'2.2.3.2.Inv-Depr-Ajus'!H25</f>
        <v>200000</v>
      </c>
      <c r="J9" s="86">
        <f>I9+'2.2.3.2.Inv-Depr-Ajus'!J10-'2.2.3.2.Inv-Depr-Ajus'!J25+'2.2.3.2.Inv-Depr-Ajus'!J40+'2.2.3.2.Inv-Depr-Ajus'!I25</f>
        <v>500000</v>
      </c>
      <c r="K9" s="86">
        <f>J9+'2.2.3.2.Inv-Depr-Ajus'!K10-'2.2.3.2.Inv-Depr-Ajus'!K25+'2.2.3.2.Inv-Depr-Ajus'!K40+'2.2.3.2.Inv-Depr-Ajus'!J25</f>
        <v>713000</v>
      </c>
      <c r="L9" s="94">
        <f>K9+'2.2.3.2.Inv-Depr-Ajus'!L10-'2.2.3.2.Inv-Depr-Ajus'!L25+'2.2.3.2.Inv-Depr-Ajus'!L40+'2.2.3.2.Inv-Depr-Ajus'!K25</f>
        <v>602000</v>
      </c>
    </row>
    <row r="10" spans="2:12">
      <c r="B10" s="93" t="s">
        <v>97</v>
      </c>
      <c r="C10" s="86">
        <f>'2.2.3.2.Inv-Depr-Ajus'!C11-'2.2.3.2.Inv-Depr-Ajus'!C26+'2.2.3.2.Inv-Depr-Ajus'!C41</f>
        <v>33000</v>
      </c>
      <c r="D10" s="86">
        <f>C10+'2.2.3.2.Inv-Depr-Ajus'!D11-'2.2.3.2.Inv-Depr-Ajus'!D26+'2.2.3.2.Inv-Depr-Ajus'!D41+'2.2.3.2.Inv-Depr-Ajus'!C26</f>
        <v>105000</v>
      </c>
      <c r="E10" s="86">
        <f>D10+'2.2.3.2.Inv-Depr-Ajus'!E11-'2.2.3.2.Inv-Depr-Ajus'!E26+'2.2.3.2.Inv-Depr-Ajus'!E41+'2.2.3.2.Inv-Depr-Ajus'!D26</f>
        <v>97000</v>
      </c>
      <c r="F10" s="86">
        <f>E10+'2.2.3.2.Inv-Depr-Ajus'!F11-'2.2.3.2.Inv-Depr-Ajus'!F26+'2.2.3.2.Inv-Depr-Ajus'!F41+'2.2.3.2.Inv-Depr-Ajus'!E26</f>
        <v>86000</v>
      </c>
      <c r="G10" s="86">
        <f>F10+'2.2.3.2.Inv-Depr-Ajus'!G11-'2.2.3.2.Inv-Depr-Ajus'!G26+'2.2.3.2.Inv-Depr-Ajus'!G41+'2.2.3.2.Inv-Depr-Ajus'!F26</f>
        <v>185000</v>
      </c>
      <c r="H10" s="86">
        <f>G10+'2.2.3.2.Inv-Depr-Ajus'!H11-'2.2.3.2.Inv-Depr-Ajus'!H26+'2.2.3.2.Inv-Depr-Ajus'!H41+'2.2.3.2.Inv-Depr-Ajus'!G26</f>
        <v>175000</v>
      </c>
      <c r="I10" s="86">
        <f>H10+'2.2.3.2.Inv-Depr-Ajus'!I11-'2.2.3.2.Inv-Depr-Ajus'!I26+'2.2.3.2.Inv-Depr-Ajus'!I41+'2.2.3.2.Inv-Depr-Ajus'!H26</f>
        <v>123000</v>
      </c>
      <c r="J10" s="86">
        <f>I10+'2.2.3.2.Inv-Depr-Ajus'!J11-'2.2.3.2.Inv-Depr-Ajus'!J26+'2.2.3.2.Inv-Depr-Ajus'!J41+'2.2.3.2.Inv-Depr-Ajus'!I26</f>
        <v>83000</v>
      </c>
      <c r="K10" s="86">
        <f>J10+'2.2.3.2.Inv-Depr-Ajus'!K11-'2.2.3.2.Inv-Depr-Ajus'!K26+'2.2.3.2.Inv-Depr-Ajus'!K41+'2.2.3.2.Inv-Depr-Ajus'!J26</f>
        <v>74000</v>
      </c>
      <c r="L10" s="94">
        <f>K10+'2.2.3.2.Inv-Depr-Ajus'!L11-'2.2.3.2.Inv-Depr-Ajus'!L26+'2.2.3.2.Inv-Depr-Ajus'!L41+'2.2.3.2.Inv-Depr-Ajus'!K26</f>
        <v>44000</v>
      </c>
    </row>
    <row r="11" spans="2:12">
      <c r="B11" s="93" t="s">
        <v>98</v>
      </c>
      <c r="C11" s="86">
        <f>'2.2.3.2.Inv-Depr-Ajus'!C12-'2.2.3.2.Inv-Depr-Ajus'!C27+'2.2.3.2.Inv-Depr-Ajus'!C42</f>
        <v>19000</v>
      </c>
      <c r="D11" s="86">
        <f>C11+'2.2.3.2.Inv-Depr-Ajus'!D12-'2.2.3.2.Inv-Depr-Ajus'!D27+'2.2.3.2.Inv-Depr-Ajus'!D42+'2.2.3.2.Inv-Depr-Ajus'!C27</f>
        <v>91000</v>
      </c>
      <c r="E11" s="86">
        <f>D11+'2.2.3.2.Inv-Depr-Ajus'!E12-'2.2.3.2.Inv-Depr-Ajus'!E27+'2.2.3.2.Inv-Depr-Ajus'!E42+'2.2.3.2.Inv-Depr-Ajus'!D27</f>
        <v>88000</v>
      </c>
      <c r="F11" s="86">
        <f>E11+'2.2.3.2.Inv-Depr-Ajus'!F12-'2.2.3.2.Inv-Depr-Ajus'!F27+'2.2.3.2.Inv-Depr-Ajus'!F42+'2.2.3.2.Inv-Depr-Ajus'!E27</f>
        <v>90000</v>
      </c>
      <c r="G11" s="86">
        <f>F11+'2.2.3.2.Inv-Depr-Ajus'!G12-'2.2.3.2.Inv-Depr-Ajus'!G27+'2.2.3.2.Inv-Depr-Ajus'!G42+'2.2.3.2.Inv-Depr-Ajus'!F27</f>
        <v>113000</v>
      </c>
      <c r="H11" s="86">
        <f>G11+'2.2.3.2.Inv-Depr-Ajus'!H12-'2.2.3.2.Inv-Depr-Ajus'!H27+'2.2.3.2.Inv-Depr-Ajus'!H42+'2.2.3.2.Inv-Depr-Ajus'!G27</f>
        <v>129000</v>
      </c>
      <c r="I11" s="86">
        <f>H11+'2.2.3.2.Inv-Depr-Ajus'!I12-'2.2.3.2.Inv-Depr-Ajus'!I27+'2.2.3.2.Inv-Depr-Ajus'!I42+'2.2.3.2.Inv-Depr-Ajus'!H27</f>
        <v>113000</v>
      </c>
      <c r="J11" s="86">
        <f>I11+'2.2.3.2.Inv-Depr-Ajus'!J12-'2.2.3.2.Inv-Depr-Ajus'!J27+'2.2.3.2.Inv-Depr-Ajus'!J42+'2.2.3.2.Inv-Depr-Ajus'!I27</f>
        <v>103000</v>
      </c>
      <c r="K11" s="86">
        <f>J11+'2.2.3.2.Inv-Depr-Ajus'!K12-'2.2.3.2.Inv-Depr-Ajus'!K27+'2.2.3.2.Inv-Depr-Ajus'!K42+'2.2.3.2.Inv-Depr-Ajus'!J27</f>
        <v>89000</v>
      </c>
      <c r="L11" s="94">
        <f>K11+'2.2.3.2.Inv-Depr-Ajus'!L12-'2.2.3.2.Inv-Depr-Ajus'!L27+'2.2.3.2.Inv-Depr-Ajus'!L42+'2.2.3.2.Inv-Depr-Ajus'!K27</f>
        <v>73000</v>
      </c>
    </row>
    <row r="12" spans="2:12">
      <c r="B12" s="93" t="s">
        <v>99</v>
      </c>
      <c r="C12" s="86">
        <f>'2.2.3.2.Inv-Depr-Ajus'!C13-'2.2.3.2.Inv-Depr-Ajus'!C28+'2.2.3.2.Inv-Depr-Ajus'!C43</f>
        <v>4000</v>
      </c>
      <c r="D12" s="86">
        <f>C12+'2.2.3.2.Inv-Depr-Ajus'!D13-'2.2.3.2.Inv-Depr-Ajus'!D28+'2.2.3.2.Inv-Depr-Ajus'!D43+'2.2.3.2.Inv-Depr-Ajus'!C28</f>
        <v>172000</v>
      </c>
      <c r="E12" s="86">
        <f>D12+'2.2.3.2.Inv-Depr-Ajus'!E13-'2.2.3.2.Inv-Depr-Ajus'!E28+'2.2.3.2.Inv-Depr-Ajus'!E43+'2.2.3.2.Inv-Depr-Ajus'!D28</f>
        <v>243000</v>
      </c>
      <c r="F12" s="86">
        <f>E12+'2.2.3.2.Inv-Depr-Ajus'!F13-'2.2.3.2.Inv-Depr-Ajus'!F28+'2.2.3.2.Inv-Depr-Ajus'!F43+'2.2.3.2.Inv-Depr-Ajus'!E28</f>
        <v>417000</v>
      </c>
      <c r="G12" s="86">
        <f>F12+'2.2.3.2.Inv-Depr-Ajus'!G13-'2.2.3.2.Inv-Depr-Ajus'!G28+'2.2.3.2.Inv-Depr-Ajus'!G43+'2.2.3.2.Inv-Depr-Ajus'!F28</f>
        <v>384000</v>
      </c>
      <c r="H12" s="86">
        <f>G12+'2.2.3.2.Inv-Depr-Ajus'!H13-'2.2.3.2.Inv-Depr-Ajus'!H28+'2.2.3.2.Inv-Depr-Ajus'!H43+'2.2.3.2.Inv-Depr-Ajus'!G28</f>
        <v>571000</v>
      </c>
      <c r="I12" s="86">
        <f>H12+'2.2.3.2.Inv-Depr-Ajus'!I13-'2.2.3.2.Inv-Depr-Ajus'!I28+'2.2.3.2.Inv-Depr-Ajus'!I43+'2.2.3.2.Inv-Depr-Ajus'!H28</f>
        <v>572000</v>
      </c>
      <c r="J12" s="86">
        <f>I12+'2.2.3.2.Inv-Depr-Ajus'!J13-'2.2.3.2.Inv-Depr-Ajus'!J28+'2.2.3.2.Inv-Depr-Ajus'!J43+'2.2.3.2.Inv-Depr-Ajus'!I28</f>
        <v>491000</v>
      </c>
      <c r="K12" s="86">
        <f>J12+'2.2.3.2.Inv-Depr-Ajus'!K13-'2.2.3.2.Inv-Depr-Ajus'!K28+'2.2.3.2.Inv-Depr-Ajus'!K43+'2.2.3.2.Inv-Depr-Ajus'!J28</f>
        <v>337000</v>
      </c>
      <c r="L12" s="94">
        <f>K12+'2.2.3.2.Inv-Depr-Ajus'!L13-'2.2.3.2.Inv-Depr-Ajus'!L28+'2.2.3.2.Inv-Depr-Ajus'!L43+'2.2.3.2.Inv-Depr-Ajus'!K28</f>
        <v>483000</v>
      </c>
    </row>
    <row r="13" spans="2:12">
      <c r="B13" s="95" t="s">
        <v>100</v>
      </c>
      <c r="C13" s="87">
        <f>'2.2.3.2.Inv-Depr-Ajus'!C14-'2.2.3.2.Inv-Depr-Ajus'!C29+'2.2.3.2.Inv-Depr-Ajus'!C44</f>
        <v>17000</v>
      </c>
      <c r="D13" s="87">
        <f>C13+'2.2.3.2.Inv-Depr-Ajus'!D14-'2.2.3.2.Inv-Depr-Ajus'!D29+'2.2.3.2.Inv-Depr-Ajus'!D44+'2.2.3.2.Inv-Depr-Ajus'!C29</f>
        <v>48000</v>
      </c>
      <c r="E13" s="87">
        <f>D13+'2.2.3.2.Inv-Depr-Ajus'!E14-'2.2.3.2.Inv-Depr-Ajus'!E29+'2.2.3.2.Inv-Depr-Ajus'!E44+'2.2.3.2.Inv-Depr-Ajus'!D29</f>
        <v>68000</v>
      </c>
      <c r="F13" s="87">
        <f>E13+'2.2.3.2.Inv-Depr-Ajus'!F14-'2.2.3.2.Inv-Depr-Ajus'!F29+'2.2.3.2.Inv-Depr-Ajus'!F44+'2.2.3.2.Inv-Depr-Ajus'!E29</f>
        <v>104000</v>
      </c>
      <c r="G13" s="87">
        <f>F13+'2.2.3.2.Inv-Depr-Ajus'!G14-'2.2.3.2.Inv-Depr-Ajus'!G29+'2.2.3.2.Inv-Depr-Ajus'!G44+'2.2.3.2.Inv-Depr-Ajus'!F29</f>
        <v>76000</v>
      </c>
      <c r="H13" s="87">
        <f>G13+'2.2.3.2.Inv-Depr-Ajus'!H14-'2.2.3.2.Inv-Depr-Ajus'!H29+'2.2.3.2.Inv-Depr-Ajus'!H44+'2.2.3.2.Inv-Depr-Ajus'!G29</f>
        <v>57000</v>
      </c>
      <c r="I13" s="87">
        <f>H13+'2.2.3.2.Inv-Depr-Ajus'!I14-'2.2.3.2.Inv-Depr-Ajus'!I29+'2.2.3.2.Inv-Depr-Ajus'!I44+'2.2.3.2.Inv-Depr-Ajus'!H29</f>
        <v>33000</v>
      </c>
      <c r="J13" s="87">
        <f>I13+'2.2.3.2.Inv-Depr-Ajus'!J14-'2.2.3.2.Inv-Depr-Ajus'!J29+'2.2.3.2.Inv-Depr-Ajus'!J44+'2.2.3.2.Inv-Depr-Ajus'!I29</f>
        <v>21000</v>
      </c>
      <c r="K13" s="87">
        <f>J13+'2.2.3.2.Inv-Depr-Ajus'!K14-'2.2.3.2.Inv-Depr-Ajus'!K29+'2.2.3.2.Inv-Depr-Ajus'!K44+'2.2.3.2.Inv-Depr-Ajus'!J29</f>
        <v>26000</v>
      </c>
      <c r="L13" s="96">
        <f>K13+'2.2.3.2.Inv-Depr-Ajus'!L14-'2.2.3.2.Inv-Depr-Ajus'!L29+'2.2.3.2.Inv-Depr-Ajus'!L44+'2.2.3.2.Inv-Depr-Ajus'!K29</f>
        <v>22000</v>
      </c>
    </row>
    <row r="14" spans="2:12">
      <c r="B14" s="89" t="s">
        <v>222</v>
      </c>
      <c r="C14" s="81"/>
      <c r="D14" s="81"/>
      <c r="E14" s="81"/>
      <c r="F14" s="81"/>
      <c r="G14" s="81"/>
      <c r="H14" s="81"/>
      <c r="I14" s="81"/>
      <c r="J14" s="81"/>
      <c r="K14" s="81"/>
      <c r="L14" s="97"/>
    </row>
    <row r="15" spans="2:12">
      <c r="B15" s="91" t="s">
        <v>101</v>
      </c>
      <c r="C15" s="85">
        <f>'2.2.3.2.Inv-Depr-Ajus'!C16-'2.2.3.2.Inv-Depr-Ajus'!C31+'2.2.3.2.Inv-Depr-Ajus'!C46</f>
        <v>5000</v>
      </c>
      <c r="D15" s="85">
        <f>C15+'2.2.3.2.Inv-Depr-Ajus'!D16-'2.2.3.2.Inv-Depr-Ajus'!D31+'2.2.3.2.Inv-Depr-Ajus'!D46+'2.2.3.2.Inv-Depr-Ajus'!C31</f>
        <v>26000</v>
      </c>
      <c r="E15" s="85">
        <f>D15+'2.2.3.2.Inv-Depr-Ajus'!E16-'2.2.3.2.Inv-Depr-Ajus'!E31+'2.2.3.2.Inv-Depr-Ajus'!E46+'2.2.3.2.Inv-Depr-Ajus'!D31</f>
        <v>29000</v>
      </c>
      <c r="F15" s="85">
        <f>E15+'2.2.3.2.Inv-Depr-Ajus'!F16-'2.2.3.2.Inv-Depr-Ajus'!F31+'2.2.3.2.Inv-Depr-Ajus'!F46+'2.2.3.2.Inv-Depr-Ajus'!E31</f>
        <v>57000</v>
      </c>
      <c r="G15" s="85">
        <f>F15+'2.2.3.2.Inv-Depr-Ajus'!G16-'2.2.3.2.Inv-Depr-Ajus'!G31+'2.2.3.2.Inv-Depr-Ajus'!G46+'2.2.3.2.Inv-Depr-Ajus'!F31</f>
        <v>13000</v>
      </c>
      <c r="H15" s="85">
        <f>G15+'2.2.3.2.Inv-Depr-Ajus'!H16-'2.2.3.2.Inv-Depr-Ajus'!H31+'2.2.3.2.Inv-Depr-Ajus'!H46+'2.2.3.2.Inv-Depr-Ajus'!G31</f>
        <v>14000</v>
      </c>
      <c r="I15" s="85">
        <f>H15+'2.2.3.2.Inv-Depr-Ajus'!I16-'2.2.3.2.Inv-Depr-Ajus'!I31+'2.2.3.2.Inv-Depr-Ajus'!I46+'2.2.3.2.Inv-Depr-Ajus'!H31</f>
        <v>28000</v>
      </c>
      <c r="J15" s="85">
        <f>I15+'2.2.3.2.Inv-Depr-Ajus'!J16-'2.2.3.2.Inv-Depr-Ajus'!J31+'2.2.3.2.Inv-Depr-Ajus'!J46+'2.2.3.2.Inv-Depr-Ajus'!I31</f>
        <v>16000</v>
      </c>
      <c r="K15" s="85">
        <f>J15+'2.2.3.2.Inv-Depr-Ajus'!K16-'2.2.3.2.Inv-Depr-Ajus'!K31+'2.2.3.2.Inv-Depr-Ajus'!K46+'2.2.3.2.Inv-Depr-Ajus'!J31</f>
        <v>46000</v>
      </c>
      <c r="L15" s="92">
        <f>K15+'2.2.3.2.Inv-Depr-Ajus'!L16-'2.2.3.2.Inv-Depr-Ajus'!L31+'2.2.3.2.Inv-Depr-Ajus'!L46+'2.2.3.2.Inv-Depr-Ajus'!K31</f>
        <v>11000</v>
      </c>
    </row>
    <row r="16" spans="2:12" ht="15" thickBot="1">
      <c r="B16" s="98" t="s">
        <v>102</v>
      </c>
      <c r="C16" s="99">
        <f>'2.2.3.2.Inv-Depr-Ajus'!C17-'2.2.3.2.Inv-Depr-Ajus'!C32+'2.2.3.2.Inv-Depr-Ajus'!C47</f>
        <v>1165000</v>
      </c>
      <c r="D16" s="99">
        <f>C16+'2.2.3.2.Inv-Depr-Ajus'!D17-'2.2.3.2.Inv-Depr-Ajus'!D32+'2.2.3.2.Inv-Depr-Ajus'!D47+'2.2.3.2.Inv-Depr-Ajus'!C32</f>
        <v>1134000</v>
      </c>
      <c r="E16" s="99">
        <f>D16+'2.2.3.2.Inv-Depr-Ajus'!E17-'2.2.3.2.Inv-Depr-Ajus'!E32+'2.2.3.2.Inv-Depr-Ajus'!E47+'2.2.3.2.Inv-Depr-Ajus'!D32</f>
        <v>1101000</v>
      </c>
      <c r="F16" s="99">
        <f>E16+'2.2.3.2.Inv-Depr-Ajus'!F17-'2.2.3.2.Inv-Depr-Ajus'!F32+'2.2.3.2.Inv-Depr-Ajus'!F47+'2.2.3.2.Inv-Depr-Ajus'!E32</f>
        <v>3855000</v>
      </c>
      <c r="G16" s="99">
        <f>F16+'2.2.3.2.Inv-Depr-Ajus'!G17-'2.2.3.2.Inv-Depr-Ajus'!G32+'2.2.3.2.Inv-Depr-Ajus'!G47+'2.2.3.2.Inv-Depr-Ajus'!F32</f>
        <v>4341000</v>
      </c>
      <c r="H16" s="99">
        <f>G16+'2.2.3.2.Inv-Depr-Ajus'!H17-'2.2.3.2.Inv-Depr-Ajus'!H32+'2.2.3.2.Inv-Depr-Ajus'!H47+'2.2.3.2.Inv-Depr-Ajus'!G32</f>
        <v>66210000</v>
      </c>
      <c r="I16" s="99">
        <f>H16+'2.2.3.2.Inv-Depr-Ajus'!I17-'2.2.3.2.Inv-Depr-Ajus'!I32+'2.2.3.2.Inv-Depr-Ajus'!I47+'2.2.3.2.Inv-Depr-Ajus'!H32</f>
        <v>185598000</v>
      </c>
      <c r="J16" s="99">
        <f>I16+'2.2.3.2.Inv-Depr-Ajus'!J17-'2.2.3.2.Inv-Depr-Ajus'!J32+'2.2.3.2.Inv-Depr-Ajus'!J47+'2.2.3.2.Inv-Depr-Ajus'!I32</f>
        <v>188653000</v>
      </c>
      <c r="K16" s="99">
        <f>J16+'2.2.3.2.Inv-Depr-Ajus'!K17-'2.2.3.2.Inv-Depr-Ajus'!K32+'2.2.3.2.Inv-Depr-Ajus'!K47+'2.2.3.2.Inv-Depr-Ajus'!J32</f>
        <v>180307000</v>
      </c>
      <c r="L16" s="100">
        <f>K16+'2.2.3.2.Inv-Depr-Ajus'!L17-'2.2.3.2.Inv-Depr-Ajus'!L32+'2.2.3.2.Inv-Depr-Ajus'!L47+'2.2.3.2.Inv-Depr-Ajus'!K32</f>
        <v>176402000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B8905-45CC-4F94-98D0-BB1CE7A6F8CD}">
  <sheetPr>
    <tabColor theme="5" tint="-0.249977111117893"/>
  </sheetPr>
  <dimension ref="B2:L34"/>
  <sheetViews>
    <sheetView showGridLines="0" zoomScale="80" zoomScaleNormal="80" workbookViewId="0">
      <selection activeCell="C18" sqref="C18"/>
    </sheetView>
  </sheetViews>
  <sheetFormatPr baseColWidth="10" defaultColWidth="11.54296875" defaultRowHeight="14.5"/>
  <cols>
    <col min="1" max="1" width="11.54296875" style="3"/>
    <col min="2" max="2" width="24.81640625" style="3" customWidth="1"/>
    <col min="3" max="4" width="14.26953125" style="3" bestFit="1" customWidth="1"/>
    <col min="5" max="5" width="12.81640625" style="3" bestFit="1" customWidth="1"/>
    <col min="6" max="6" width="13.7265625" style="3" bestFit="1" customWidth="1"/>
    <col min="7" max="7" width="11.81640625" style="3" bestFit="1" customWidth="1"/>
    <col min="8" max="8" width="14.26953125" style="3" bestFit="1" customWidth="1"/>
    <col min="9" max="9" width="11.7265625" style="3" bestFit="1" customWidth="1"/>
    <col min="10" max="10" width="13" style="3" bestFit="1" customWidth="1"/>
    <col min="11" max="11" width="11.81640625" style="3" bestFit="1" customWidth="1"/>
    <col min="12" max="12" width="11.7265625" style="3" bestFit="1" customWidth="1"/>
    <col min="13" max="16384" width="11.54296875" style="3"/>
  </cols>
  <sheetData>
    <row r="2" spans="2:9">
      <c r="B2" s="2" t="s">
        <v>220</v>
      </c>
      <c r="G2" s="411">
        <f>+'1. Factor X'!D15</f>
        <v>-5.4635196730062507E-2</v>
      </c>
    </row>
    <row r="5" spans="2:9">
      <c r="B5" s="50" t="s">
        <v>83</v>
      </c>
    </row>
    <row r="6" spans="2:9" ht="15" thickBot="1"/>
    <row r="7" spans="2:9">
      <c r="B7" s="317"/>
      <c r="C7" s="318" t="s">
        <v>84</v>
      </c>
    </row>
    <row r="8" spans="2:9">
      <c r="B8" s="175" t="s">
        <v>85</v>
      </c>
      <c r="C8" s="319">
        <v>3.3333333333333333E-2</v>
      </c>
    </row>
    <row r="9" spans="2:9" ht="15" thickBot="1">
      <c r="B9" s="185" t="s">
        <v>86</v>
      </c>
      <c r="C9" s="320">
        <v>0.1</v>
      </c>
    </row>
    <row r="12" spans="2:9">
      <c r="B12" s="50" t="s">
        <v>272</v>
      </c>
    </row>
    <row r="13" spans="2:9" ht="15" thickBot="1"/>
    <row r="14" spans="2:9" ht="15" thickBot="1">
      <c r="B14" s="314"/>
      <c r="C14" s="315" t="s">
        <v>87</v>
      </c>
      <c r="E14" s="314"/>
      <c r="F14" s="315" t="s">
        <v>273</v>
      </c>
      <c r="H14" s="63" t="s">
        <v>274</v>
      </c>
      <c r="I14" s="523">
        <v>2.7949999999999999</v>
      </c>
    </row>
    <row r="15" spans="2:9" hidden="1">
      <c r="B15" s="183" t="s">
        <v>88</v>
      </c>
      <c r="C15" s="322">
        <f>F15/$I$14</f>
        <v>0</v>
      </c>
      <c r="E15" s="183" t="s">
        <v>88</v>
      </c>
      <c r="F15" s="322">
        <v>0</v>
      </c>
    </row>
    <row r="16" spans="2:9">
      <c r="B16" s="175" t="s">
        <v>89</v>
      </c>
      <c r="C16" s="323">
        <f t="shared" ref="C16:C17" si="0">F16/$I$14</f>
        <v>2626124.418604651</v>
      </c>
      <c r="E16" s="175" t="s">
        <v>89</v>
      </c>
      <c r="F16" s="323">
        <v>7340017.75</v>
      </c>
    </row>
    <row r="17" spans="2:12">
      <c r="B17" s="316" t="s">
        <v>90</v>
      </c>
      <c r="C17" s="324">
        <f t="shared" si="0"/>
        <v>14559947.255813953</v>
      </c>
      <c r="E17" s="316" t="s">
        <v>90</v>
      </c>
      <c r="F17" s="324">
        <v>40695052.579999998</v>
      </c>
    </row>
    <row r="18" spans="2:12" ht="15" thickBot="1">
      <c r="B18" s="198" t="s">
        <v>91</v>
      </c>
      <c r="C18" s="325">
        <f>SUM(C15:C17)</f>
        <v>17186071.674418602</v>
      </c>
      <c r="E18" s="198" t="s">
        <v>91</v>
      </c>
      <c r="F18" s="325">
        <f>+SUM(F15:F17)</f>
        <v>48035070.329999998</v>
      </c>
    </row>
    <row r="19" spans="2:12">
      <c r="B19" s="50"/>
      <c r="C19" s="321"/>
    </row>
    <row r="20" spans="2:12">
      <c r="C20" s="39"/>
    </row>
    <row r="21" spans="2:12">
      <c r="B21" s="50" t="s">
        <v>219</v>
      </c>
      <c r="C21" s="39"/>
    </row>
    <row r="22" spans="2:12" ht="15" thickBot="1">
      <c r="C22" s="39"/>
    </row>
    <row r="23" spans="2:12">
      <c r="B23" s="314"/>
      <c r="C23" s="315" t="s">
        <v>87</v>
      </c>
    </row>
    <row r="24" spans="2:12">
      <c r="B24" s="183" t="s">
        <v>85</v>
      </c>
      <c r="C24" s="323">
        <f>(C16+C17)*(1-C8*6/12)</f>
        <v>16899637.146511625</v>
      </c>
    </row>
    <row r="25" spans="2:12" ht="15" thickBot="1">
      <c r="B25" s="185" t="s">
        <v>86</v>
      </c>
      <c r="C25" s="326">
        <f>(C15)*(1-C9*6/12)</f>
        <v>0</v>
      </c>
    </row>
    <row r="28" spans="2:12">
      <c r="B28" s="50" t="s">
        <v>221</v>
      </c>
    </row>
    <row r="29" spans="2:12" ht="15" thickBot="1"/>
    <row r="30" spans="2:12">
      <c r="B30" s="314"/>
      <c r="C30" s="311">
        <v>2014</v>
      </c>
      <c r="D30" s="311">
        <v>2015</v>
      </c>
      <c r="E30" s="311">
        <v>2016</v>
      </c>
      <c r="F30" s="311">
        <v>2017</v>
      </c>
      <c r="G30" s="311">
        <v>2018</v>
      </c>
      <c r="H30" s="311">
        <v>2019</v>
      </c>
      <c r="I30" s="311">
        <v>2020</v>
      </c>
      <c r="J30" s="311">
        <v>2021</v>
      </c>
      <c r="K30" s="311">
        <v>2022</v>
      </c>
      <c r="L30" s="312">
        <v>2023</v>
      </c>
    </row>
    <row r="31" spans="2:12">
      <c r="B31" s="183" t="s">
        <v>85</v>
      </c>
      <c r="C31" s="327">
        <f>C24</f>
        <v>16899637.146511625</v>
      </c>
      <c r="D31" s="327">
        <f t="shared" ref="D31:L31" si="1">$C31*(1-$C8*(D$30-$C$30))</f>
        <v>16336315.908294572</v>
      </c>
      <c r="E31" s="327">
        <f t="shared" si="1"/>
        <v>15772994.670077518</v>
      </c>
      <c r="F31" s="327">
        <f t="shared" si="1"/>
        <v>15209673.431860464</v>
      </c>
      <c r="G31" s="327">
        <f t="shared" si="1"/>
        <v>14646352.19364341</v>
      </c>
      <c r="H31" s="327">
        <f t="shared" si="1"/>
        <v>14083030.955426356</v>
      </c>
      <c r="I31" s="327">
        <f t="shared" si="1"/>
        <v>13519709.717209302</v>
      </c>
      <c r="J31" s="327">
        <f t="shared" si="1"/>
        <v>12956388.478992246</v>
      </c>
      <c r="K31" s="327">
        <f t="shared" si="1"/>
        <v>12393067.240775192</v>
      </c>
      <c r="L31" s="328">
        <f t="shared" si="1"/>
        <v>11829746.002558136</v>
      </c>
    </row>
    <row r="32" spans="2:12" ht="15" thickBot="1">
      <c r="B32" s="185" t="s">
        <v>86</v>
      </c>
      <c r="C32" s="329">
        <f>C25</f>
        <v>0</v>
      </c>
      <c r="D32" s="329">
        <f t="shared" ref="D32:L32" si="2">$C32*(1-$C9*(D$30-$C$30))</f>
        <v>0</v>
      </c>
      <c r="E32" s="329">
        <f t="shared" si="2"/>
        <v>0</v>
      </c>
      <c r="F32" s="329">
        <f t="shared" si="2"/>
        <v>0</v>
      </c>
      <c r="G32" s="329">
        <f t="shared" si="2"/>
        <v>0</v>
      </c>
      <c r="H32" s="329">
        <f t="shared" si="2"/>
        <v>0</v>
      </c>
      <c r="I32" s="329">
        <f t="shared" si="2"/>
        <v>0</v>
      </c>
      <c r="J32" s="329">
        <f t="shared" si="2"/>
        <v>0</v>
      </c>
      <c r="K32" s="329">
        <f t="shared" si="2"/>
        <v>0</v>
      </c>
      <c r="L32" s="330">
        <f t="shared" si="2"/>
        <v>0</v>
      </c>
    </row>
    <row r="34" spans="4:9">
      <c r="D34" s="410"/>
      <c r="E34" s="410"/>
      <c r="F34" s="410"/>
      <c r="G34" s="410"/>
      <c r="H34" s="410"/>
      <c r="I34" s="410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47516-902C-4A22-B1EE-351B02F808CF}">
  <sheetPr>
    <tabColor theme="5" tint="-0.249977111117893"/>
  </sheetPr>
  <dimension ref="B3:L21"/>
  <sheetViews>
    <sheetView showGridLines="0" zoomScale="90" zoomScaleNormal="90" workbookViewId="0">
      <selection activeCell="D11" sqref="D11"/>
    </sheetView>
  </sheetViews>
  <sheetFormatPr baseColWidth="10" defaultRowHeight="14.5"/>
  <cols>
    <col min="2" max="2" width="23" bestFit="1" customWidth="1"/>
    <col min="3" max="8" width="12.1796875" bestFit="1" customWidth="1"/>
    <col min="9" max="12" width="13.26953125" bestFit="1" customWidth="1"/>
  </cols>
  <sheetData>
    <row r="3" spans="2:12">
      <c r="B3" s="2" t="s">
        <v>224</v>
      </c>
    </row>
    <row r="5" spans="2:12" ht="15" thickBot="1"/>
    <row r="6" spans="2:12">
      <c r="B6" s="88"/>
      <c r="C6" s="311">
        <v>2014</v>
      </c>
      <c r="D6" s="311">
        <v>2015</v>
      </c>
      <c r="E6" s="311">
        <v>2016</v>
      </c>
      <c r="F6" s="311">
        <v>2017</v>
      </c>
      <c r="G6" s="311">
        <v>2018</v>
      </c>
      <c r="H6" s="311">
        <v>2019</v>
      </c>
      <c r="I6" s="311">
        <v>2020</v>
      </c>
      <c r="J6" s="311">
        <v>2021</v>
      </c>
      <c r="K6" s="311">
        <v>2022</v>
      </c>
      <c r="L6" s="312">
        <v>2023</v>
      </c>
    </row>
    <row r="7" spans="2:12">
      <c r="B7" s="89" t="s">
        <v>94</v>
      </c>
      <c r="C7" s="80"/>
      <c r="D7" s="80"/>
      <c r="E7" s="80"/>
      <c r="F7" s="80"/>
      <c r="G7" s="80"/>
      <c r="H7" s="80"/>
      <c r="I7" s="80"/>
      <c r="J7" s="80"/>
      <c r="K7" s="80"/>
      <c r="L7" s="90"/>
    </row>
    <row r="8" spans="2:12">
      <c r="B8" s="91" t="s">
        <v>95</v>
      </c>
      <c r="C8" s="85">
        <f>'2.2.3.2.Inv-Depr-Ajus'!C9-'2.2.3.2.Inv-Depr-Ajus'!C24+'2.2.3.2.Inv-Depr-Ajus'!C39</f>
        <v>107000</v>
      </c>
      <c r="D8" s="85">
        <f>C8+'2.2.3.2.Inv-Depr-Ajus'!D9-'2.2.3.2.Inv-Depr-Ajus'!D24+'2.2.3.2.Inv-Depr-Ajus'!D39+'2.2.3.2.Inv-Depr-Ajus'!C24</f>
        <v>89000</v>
      </c>
      <c r="E8" s="85">
        <f>D8+'2.2.3.2.Inv-Depr-Ajus'!E9-'2.2.3.2.Inv-Depr-Ajus'!E24+'2.2.3.2.Inv-Depr-Ajus'!E39+'2.2.3.2.Inv-Depr-Ajus'!D24</f>
        <v>113000</v>
      </c>
      <c r="F8" s="85">
        <f>E8+'2.2.3.2.Inv-Depr-Ajus'!F9-'2.2.3.2.Inv-Depr-Ajus'!F24+'2.2.3.2.Inv-Depr-Ajus'!F39+'2.2.3.2.Inv-Depr-Ajus'!E24</f>
        <v>82000</v>
      </c>
      <c r="G8" s="85">
        <f>F8+'2.2.3.2.Inv-Depr-Ajus'!G9-'2.2.3.2.Inv-Depr-Ajus'!G24+'2.2.3.2.Inv-Depr-Ajus'!G39+'2.2.3.2.Inv-Depr-Ajus'!F24</f>
        <v>288000</v>
      </c>
      <c r="H8" s="85">
        <f>G8+'2.2.3.2.Inv-Depr-Ajus'!H9-'2.2.3.2.Inv-Depr-Ajus'!H24+'2.2.3.2.Inv-Depr-Ajus'!H39+'2.2.3.2.Inv-Depr-Ajus'!G24</f>
        <v>226000</v>
      </c>
      <c r="I8" s="85">
        <f>H8+'2.2.3.2.Inv-Depr-Ajus'!I9-'2.2.3.2.Inv-Depr-Ajus'!I24+'2.2.3.2.Inv-Depr-Ajus'!I39+'2.2.3.2.Inv-Depr-Ajus'!H24</f>
        <v>209000</v>
      </c>
      <c r="J8" s="85">
        <f>I8+'2.2.3.2.Inv-Depr-Ajus'!J9-'2.2.3.2.Inv-Depr-Ajus'!J24+'2.2.3.2.Inv-Depr-Ajus'!J39+'2.2.3.2.Inv-Depr-Ajus'!I24</f>
        <v>320000</v>
      </c>
      <c r="K8" s="85">
        <f>J8+'2.2.3.2.Inv-Depr-Ajus'!K9-'2.2.3.2.Inv-Depr-Ajus'!K24+'2.2.3.2.Inv-Depr-Ajus'!K39+'2.2.3.2.Inv-Depr-Ajus'!J24</f>
        <v>249000</v>
      </c>
      <c r="L8" s="92">
        <f>K8+'2.2.3.2.Inv-Depr-Ajus'!L9-'2.2.3.2.Inv-Depr-Ajus'!L24+'2.2.3.2.Inv-Depr-Ajus'!L39+'2.2.3.2.Inv-Depr-Ajus'!K24</f>
        <v>349000</v>
      </c>
    </row>
    <row r="9" spans="2:12">
      <c r="B9" s="93" t="s">
        <v>96</v>
      </c>
      <c r="C9" s="86">
        <f>'2.2.3.2.Inv-Depr-Ajus'!C10-'2.2.3.2.Inv-Depr-Ajus'!C25+'2.2.3.2.Inv-Depr-Ajus'!C40</f>
        <v>0</v>
      </c>
      <c r="D9" s="86">
        <f>C9+'2.2.3.2.Inv-Depr-Ajus'!D10-'2.2.3.2.Inv-Depr-Ajus'!D25+'2.2.3.2.Inv-Depr-Ajus'!D40+'2.2.3.2.Inv-Depr-Ajus'!C25</f>
        <v>1367000</v>
      </c>
      <c r="E9" s="86">
        <f>D9+'2.2.3.2.Inv-Depr-Ajus'!E10-'2.2.3.2.Inv-Depr-Ajus'!E25+'2.2.3.2.Inv-Depr-Ajus'!E40+'2.2.3.2.Inv-Depr-Ajus'!D25</f>
        <v>3136000</v>
      </c>
      <c r="F9" s="86">
        <f>E9+'2.2.3.2.Inv-Depr-Ajus'!F10-'2.2.3.2.Inv-Depr-Ajus'!F25+'2.2.3.2.Inv-Depr-Ajus'!F40+'2.2.3.2.Inv-Depr-Ajus'!E25</f>
        <v>660000</v>
      </c>
      <c r="G9" s="86">
        <f>F9+'2.2.3.2.Inv-Depr-Ajus'!G10-'2.2.3.2.Inv-Depr-Ajus'!G25+'2.2.3.2.Inv-Depr-Ajus'!G40+'2.2.3.2.Inv-Depr-Ajus'!F25</f>
        <v>738000</v>
      </c>
      <c r="H9" s="86">
        <f>G9+'2.2.3.2.Inv-Depr-Ajus'!H10-'2.2.3.2.Inv-Depr-Ajus'!H25+'2.2.3.2.Inv-Depr-Ajus'!H40+'2.2.3.2.Inv-Depr-Ajus'!G25</f>
        <v>429000</v>
      </c>
      <c r="I9" s="86">
        <f>H9+'2.2.3.2.Inv-Depr-Ajus'!I10-'2.2.3.2.Inv-Depr-Ajus'!I25+'2.2.3.2.Inv-Depr-Ajus'!I40+'2.2.3.2.Inv-Depr-Ajus'!H25</f>
        <v>200000</v>
      </c>
      <c r="J9" s="86">
        <f>I9+'2.2.3.2.Inv-Depr-Ajus'!J10-'2.2.3.2.Inv-Depr-Ajus'!J25+'2.2.3.2.Inv-Depr-Ajus'!J40+'2.2.3.2.Inv-Depr-Ajus'!I25</f>
        <v>500000</v>
      </c>
      <c r="K9" s="86">
        <f>J9+'2.2.3.2.Inv-Depr-Ajus'!K10-'2.2.3.2.Inv-Depr-Ajus'!K25+'2.2.3.2.Inv-Depr-Ajus'!K40+'2.2.3.2.Inv-Depr-Ajus'!J25</f>
        <v>713000</v>
      </c>
      <c r="L9" s="94">
        <f>K9+'2.2.3.2.Inv-Depr-Ajus'!L10-'2.2.3.2.Inv-Depr-Ajus'!L25+'2.2.3.2.Inv-Depr-Ajus'!L40+'2.2.3.2.Inv-Depr-Ajus'!K25</f>
        <v>602000</v>
      </c>
    </row>
    <row r="10" spans="2:12">
      <c r="B10" s="93" t="s">
        <v>97</v>
      </c>
      <c r="C10" s="86">
        <f>'2.2.3.2.Inv-Depr-Ajus'!C11-'2.2.3.2.Inv-Depr-Ajus'!C26+'2.2.3.2.Inv-Depr-Ajus'!C41</f>
        <v>33000</v>
      </c>
      <c r="D10" s="86">
        <f>C10+'2.2.3.2.Inv-Depr-Ajus'!D11-'2.2.3.2.Inv-Depr-Ajus'!D26+'2.2.3.2.Inv-Depr-Ajus'!D41+'2.2.3.2.Inv-Depr-Ajus'!C26</f>
        <v>105000</v>
      </c>
      <c r="E10" s="86">
        <f>D10+'2.2.3.2.Inv-Depr-Ajus'!E11-'2.2.3.2.Inv-Depr-Ajus'!E26+'2.2.3.2.Inv-Depr-Ajus'!E41+'2.2.3.2.Inv-Depr-Ajus'!D26</f>
        <v>97000</v>
      </c>
      <c r="F10" s="86">
        <f>E10+'2.2.3.2.Inv-Depr-Ajus'!F11-'2.2.3.2.Inv-Depr-Ajus'!F26+'2.2.3.2.Inv-Depr-Ajus'!F41+'2.2.3.2.Inv-Depr-Ajus'!E26</f>
        <v>86000</v>
      </c>
      <c r="G10" s="86">
        <f>F10+'2.2.3.2.Inv-Depr-Ajus'!G11-'2.2.3.2.Inv-Depr-Ajus'!G26+'2.2.3.2.Inv-Depr-Ajus'!G41+'2.2.3.2.Inv-Depr-Ajus'!F26</f>
        <v>185000</v>
      </c>
      <c r="H10" s="86">
        <f>G10+'2.2.3.2.Inv-Depr-Ajus'!H11-'2.2.3.2.Inv-Depr-Ajus'!H26+'2.2.3.2.Inv-Depr-Ajus'!H41+'2.2.3.2.Inv-Depr-Ajus'!G26</f>
        <v>175000</v>
      </c>
      <c r="I10" s="86">
        <f>H10+'2.2.3.2.Inv-Depr-Ajus'!I11-'2.2.3.2.Inv-Depr-Ajus'!I26+'2.2.3.2.Inv-Depr-Ajus'!I41+'2.2.3.2.Inv-Depr-Ajus'!H26</f>
        <v>123000</v>
      </c>
      <c r="J10" s="86">
        <f>I10+'2.2.3.2.Inv-Depr-Ajus'!J11-'2.2.3.2.Inv-Depr-Ajus'!J26+'2.2.3.2.Inv-Depr-Ajus'!J41+'2.2.3.2.Inv-Depr-Ajus'!I26</f>
        <v>83000</v>
      </c>
      <c r="K10" s="86">
        <f>J10+'2.2.3.2.Inv-Depr-Ajus'!K11-'2.2.3.2.Inv-Depr-Ajus'!K26+'2.2.3.2.Inv-Depr-Ajus'!K41+'2.2.3.2.Inv-Depr-Ajus'!J26</f>
        <v>74000</v>
      </c>
      <c r="L10" s="94">
        <f>K10+'2.2.3.2.Inv-Depr-Ajus'!L11-'2.2.3.2.Inv-Depr-Ajus'!L26+'2.2.3.2.Inv-Depr-Ajus'!L41+'2.2.3.2.Inv-Depr-Ajus'!K26</f>
        <v>44000</v>
      </c>
    </row>
    <row r="11" spans="2:12">
      <c r="B11" s="93" t="s">
        <v>98</v>
      </c>
      <c r="C11" s="86">
        <f>'2.2.3.2.Inv-Depr-Ajus'!C12-'2.2.3.2.Inv-Depr-Ajus'!C27+'2.2.3.2.Inv-Depr-Ajus'!C42</f>
        <v>19000</v>
      </c>
      <c r="D11" s="86">
        <f>C11+'2.2.3.2.Inv-Depr-Ajus'!D12-'2.2.3.2.Inv-Depr-Ajus'!D27+'2.2.3.2.Inv-Depr-Ajus'!D42+'2.2.3.2.Inv-Depr-Ajus'!C27</f>
        <v>91000</v>
      </c>
      <c r="E11" s="86">
        <f>D11+'2.2.3.2.Inv-Depr-Ajus'!E12-'2.2.3.2.Inv-Depr-Ajus'!E27+'2.2.3.2.Inv-Depr-Ajus'!E42+'2.2.3.2.Inv-Depr-Ajus'!D27</f>
        <v>88000</v>
      </c>
      <c r="F11" s="86">
        <f>E11+'2.2.3.2.Inv-Depr-Ajus'!F12-'2.2.3.2.Inv-Depr-Ajus'!F27+'2.2.3.2.Inv-Depr-Ajus'!F42+'2.2.3.2.Inv-Depr-Ajus'!E27</f>
        <v>90000</v>
      </c>
      <c r="G11" s="86">
        <f>F11+'2.2.3.2.Inv-Depr-Ajus'!G12-'2.2.3.2.Inv-Depr-Ajus'!G27+'2.2.3.2.Inv-Depr-Ajus'!G42+'2.2.3.2.Inv-Depr-Ajus'!F27</f>
        <v>113000</v>
      </c>
      <c r="H11" s="86">
        <f>G11+'2.2.3.2.Inv-Depr-Ajus'!H12-'2.2.3.2.Inv-Depr-Ajus'!H27+'2.2.3.2.Inv-Depr-Ajus'!H42+'2.2.3.2.Inv-Depr-Ajus'!G27</f>
        <v>129000</v>
      </c>
      <c r="I11" s="86">
        <f>H11+'2.2.3.2.Inv-Depr-Ajus'!I12-'2.2.3.2.Inv-Depr-Ajus'!I27+'2.2.3.2.Inv-Depr-Ajus'!I42+'2.2.3.2.Inv-Depr-Ajus'!H27</f>
        <v>113000</v>
      </c>
      <c r="J11" s="86">
        <f>I11+'2.2.3.2.Inv-Depr-Ajus'!J12-'2.2.3.2.Inv-Depr-Ajus'!J27+'2.2.3.2.Inv-Depr-Ajus'!J42+'2.2.3.2.Inv-Depr-Ajus'!I27</f>
        <v>103000</v>
      </c>
      <c r="K11" s="86">
        <f>J11+'2.2.3.2.Inv-Depr-Ajus'!K12-'2.2.3.2.Inv-Depr-Ajus'!K27+'2.2.3.2.Inv-Depr-Ajus'!K42+'2.2.3.2.Inv-Depr-Ajus'!J27</f>
        <v>89000</v>
      </c>
      <c r="L11" s="94">
        <f>K11+'2.2.3.2.Inv-Depr-Ajus'!L12-'2.2.3.2.Inv-Depr-Ajus'!L27+'2.2.3.2.Inv-Depr-Ajus'!L42+'2.2.3.2.Inv-Depr-Ajus'!K27</f>
        <v>73000</v>
      </c>
    </row>
    <row r="12" spans="2:12">
      <c r="B12" s="93" t="s">
        <v>99</v>
      </c>
      <c r="C12" s="86">
        <f>'2.2.3.2.Inv-Depr-Ajus'!C13-'2.2.3.2.Inv-Depr-Ajus'!C28+'2.2.3.2.Inv-Depr-Ajus'!C43</f>
        <v>4000</v>
      </c>
      <c r="D12" s="86">
        <f>C12+'2.2.3.2.Inv-Depr-Ajus'!D13-'2.2.3.2.Inv-Depr-Ajus'!D28+'2.2.3.2.Inv-Depr-Ajus'!D43+'2.2.3.2.Inv-Depr-Ajus'!C28</f>
        <v>172000</v>
      </c>
      <c r="E12" s="86">
        <f>D12+'2.2.3.2.Inv-Depr-Ajus'!E13-'2.2.3.2.Inv-Depr-Ajus'!E28+'2.2.3.2.Inv-Depr-Ajus'!E43+'2.2.3.2.Inv-Depr-Ajus'!D28</f>
        <v>243000</v>
      </c>
      <c r="F12" s="86">
        <f>E12+'2.2.3.2.Inv-Depr-Ajus'!F13-'2.2.3.2.Inv-Depr-Ajus'!F28+'2.2.3.2.Inv-Depr-Ajus'!F43+'2.2.3.2.Inv-Depr-Ajus'!E28</f>
        <v>417000</v>
      </c>
      <c r="G12" s="86">
        <f>F12+'2.2.3.2.Inv-Depr-Ajus'!G13-'2.2.3.2.Inv-Depr-Ajus'!G28+'2.2.3.2.Inv-Depr-Ajus'!G43+'2.2.3.2.Inv-Depr-Ajus'!F28</f>
        <v>384000</v>
      </c>
      <c r="H12" s="86">
        <f>G12+'2.2.3.2.Inv-Depr-Ajus'!H13-'2.2.3.2.Inv-Depr-Ajus'!H28+'2.2.3.2.Inv-Depr-Ajus'!H43+'2.2.3.2.Inv-Depr-Ajus'!G28</f>
        <v>571000</v>
      </c>
      <c r="I12" s="86">
        <f>H12+'2.2.3.2.Inv-Depr-Ajus'!I13-'2.2.3.2.Inv-Depr-Ajus'!I28+'2.2.3.2.Inv-Depr-Ajus'!I43+'2.2.3.2.Inv-Depr-Ajus'!H28</f>
        <v>572000</v>
      </c>
      <c r="J12" s="86">
        <f>I12+'2.2.3.2.Inv-Depr-Ajus'!J13-'2.2.3.2.Inv-Depr-Ajus'!J28+'2.2.3.2.Inv-Depr-Ajus'!J43+'2.2.3.2.Inv-Depr-Ajus'!I28</f>
        <v>491000</v>
      </c>
      <c r="K12" s="86">
        <f>J12+'2.2.3.2.Inv-Depr-Ajus'!K13-'2.2.3.2.Inv-Depr-Ajus'!K28+'2.2.3.2.Inv-Depr-Ajus'!K43+'2.2.3.2.Inv-Depr-Ajus'!J28</f>
        <v>337000</v>
      </c>
      <c r="L12" s="94">
        <f>K12+'2.2.3.2.Inv-Depr-Ajus'!L13-'2.2.3.2.Inv-Depr-Ajus'!L28+'2.2.3.2.Inv-Depr-Ajus'!L43+'2.2.3.2.Inv-Depr-Ajus'!K28</f>
        <v>483000</v>
      </c>
    </row>
    <row r="13" spans="2:12">
      <c r="B13" s="95" t="s">
        <v>100</v>
      </c>
      <c r="C13" s="87">
        <f>'2.2.3.2.Inv-Depr-Ajus'!C14-'2.2.3.2.Inv-Depr-Ajus'!C29+'2.2.3.2.Inv-Depr-Ajus'!C44</f>
        <v>17000</v>
      </c>
      <c r="D13" s="87">
        <f>C13+'2.2.3.2.Inv-Depr-Ajus'!D14-'2.2.3.2.Inv-Depr-Ajus'!D29+'2.2.3.2.Inv-Depr-Ajus'!D44+'2.2.3.2.Inv-Depr-Ajus'!C29</f>
        <v>48000</v>
      </c>
      <c r="E13" s="87">
        <f>D13+'2.2.3.2.Inv-Depr-Ajus'!E14-'2.2.3.2.Inv-Depr-Ajus'!E29+'2.2.3.2.Inv-Depr-Ajus'!E44+'2.2.3.2.Inv-Depr-Ajus'!D29</f>
        <v>68000</v>
      </c>
      <c r="F13" s="87">
        <f>E13+'2.2.3.2.Inv-Depr-Ajus'!F14-'2.2.3.2.Inv-Depr-Ajus'!F29+'2.2.3.2.Inv-Depr-Ajus'!F44+'2.2.3.2.Inv-Depr-Ajus'!E29</f>
        <v>104000</v>
      </c>
      <c r="G13" s="87">
        <f>F13+'2.2.3.2.Inv-Depr-Ajus'!G14-'2.2.3.2.Inv-Depr-Ajus'!G29+'2.2.3.2.Inv-Depr-Ajus'!G44+'2.2.3.2.Inv-Depr-Ajus'!F29</f>
        <v>76000</v>
      </c>
      <c r="H13" s="87">
        <f>G13+'2.2.3.2.Inv-Depr-Ajus'!H14-'2.2.3.2.Inv-Depr-Ajus'!H29+'2.2.3.2.Inv-Depr-Ajus'!H44+'2.2.3.2.Inv-Depr-Ajus'!G29</f>
        <v>57000</v>
      </c>
      <c r="I13" s="87">
        <f>H13+'2.2.3.2.Inv-Depr-Ajus'!I14-'2.2.3.2.Inv-Depr-Ajus'!I29+'2.2.3.2.Inv-Depr-Ajus'!I44+'2.2.3.2.Inv-Depr-Ajus'!H29</f>
        <v>33000</v>
      </c>
      <c r="J13" s="87">
        <f>I13+'2.2.3.2.Inv-Depr-Ajus'!J14-'2.2.3.2.Inv-Depr-Ajus'!J29+'2.2.3.2.Inv-Depr-Ajus'!J44+'2.2.3.2.Inv-Depr-Ajus'!I29</f>
        <v>21000</v>
      </c>
      <c r="K13" s="87">
        <f>J13+'2.2.3.2.Inv-Depr-Ajus'!K14-'2.2.3.2.Inv-Depr-Ajus'!K29+'2.2.3.2.Inv-Depr-Ajus'!K44+'2.2.3.2.Inv-Depr-Ajus'!J29</f>
        <v>26000</v>
      </c>
      <c r="L13" s="96">
        <f>K13+'2.2.3.2.Inv-Depr-Ajus'!L14-'2.2.3.2.Inv-Depr-Ajus'!L29+'2.2.3.2.Inv-Depr-Ajus'!L44+'2.2.3.2.Inv-Depr-Ajus'!K29</f>
        <v>22000</v>
      </c>
    </row>
    <row r="14" spans="2:12">
      <c r="B14" s="89" t="s">
        <v>222</v>
      </c>
      <c r="C14" s="81"/>
      <c r="D14" s="81"/>
      <c r="E14" s="81"/>
      <c r="F14" s="81"/>
      <c r="G14" s="81"/>
      <c r="H14" s="81"/>
      <c r="I14" s="81"/>
      <c r="J14" s="81"/>
      <c r="K14" s="81"/>
      <c r="L14" s="97"/>
    </row>
    <row r="15" spans="2:12">
      <c r="B15" s="91" t="s">
        <v>101</v>
      </c>
      <c r="C15" s="85">
        <f>'2.2.3.2.Inv-Depr-Ajus'!C16-'2.2.3.2.Inv-Depr-Ajus'!C31+'2.2.3.2.Inv-Depr-Ajus'!C46</f>
        <v>5000</v>
      </c>
      <c r="D15" s="85">
        <f>C15+'2.2.3.2.Inv-Depr-Ajus'!D16-'2.2.3.2.Inv-Depr-Ajus'!D31+'2.2.3.2.Inv-Depr-Ajus'!D46+'2.2.3.2.Inv-Depr-Ajus'!C31</f>
        <v>26000</v>
      </c>
      <c r="E15" s="85">
        <f>D15+'2.2.3.2.Inv-Depr-Ajus'!E16-'2.2.3.2.Inv-Depr-Ajus'!E31+'2.2.3.2.Inv-Depr-Ajus'!E46+'2.2.3.2.Inv-Depr-Ajus'!D31</f>
        <v>29000</v>
      </c>
      <c r="F15" s="85">
        <f>E15+'2.2.3.2.Inv-Depr-Ajus'!F16-'2.2.3.2.Inv-Depr-Ajus'!F31+'2.2.3.2.Inv-Depr-Ajus'!F46+'2.2.3.2.Inv-Depr-Ajus'!E31</f>
        <v>57000</v>
      </c>
      <c r="G15" s="85">
        <f>F15+'2.2.3.2.Inv-Depr-Ajus'!G16-'2.2.3.2.Inv-Depr-Ajus'!G31+'2.2.3.2.Inv-Depr-Ajus'!G46+'2.2.3.2.Inv-Depr-Ajus'!F31</f>
        <v>13000</v>
      </c>
      <c r="H15" s="85">
        <f>G15+'2.2.3.2.Inv-Depr-Ajus'!H16-'2.2.3.2.Inv-Depr-Ajus'!H31+'2.2.3.2.Inv-Depr-Ajus'!H46+'2.2.3.2.Inv-Depr-Ajus'!G31</f>
        <v>14000</v>
      </c>
      <c r="I15" s="85">
        <f>H15+'2.2.3.2.Inv-Depr-Ajus'!I16-'2.2.3.2.Inv-Depr-Ajus'!I31+'2.2.3.2.Inv-Depr-Ajus'!I46+'2.2.3.2.Inv-Depr-Ajus'!H31</f>
        <v>28000</v>
      </c>
      <c r="J15" s="85">
        <f>I15+'2.2.3.2.Inv-Depr-Ajus'!J16-'2.2.3.2.Inv-Depr-Ajus'!J31+'2.2.3.2.Inv-Depr-Ajus'!J46+'2.2.3.2.Inv-Depr-Ajus'!I31</f>
        <v>16000</v>
      </c>
      <c r="K15" s="85">
        <f>J15+'2.2.3.2.Inv-Depr-Ajus'!K16-'2.2.3.2.Inv-Depr-Ajus'!K31+'2.2.3.2.Inv-Depr-Ajus'!K46+'2.2.3.2.Inv-Depr-Ajus'!J31</f>
        <v>46000</v>
      </c>
      <c r="L15" s="92">
        <f>K15+'2.2.3.2.Inv-Depr-Ajus'!L16-'2.2.3.2.Inv-Depr-Ajus'!L31+'2.2.3.2.Inv-Depr-Ajus'!L46+'2.2.3.2.Inv-Depr-Ajus'!K31</f>
        <v>11000</v>
      </c>
    </row>
    <row r="16" spans="2:12">
      <c r="B16" s="95" t="s">
        <v>102</v>
      </c>
      <c r="C16" s="87">
        <f>'2.2.3.2.Inv-Depr-Ajus'!C17-'2.2.3.2.Inv-Depr-Ajus'!C32+'2.2.3.2.Inv-Depr-Ajus'!C47</f>
        <v>1165000</v>
      </c>
      <c r="D16" s="87">
        <f>C16+'2.2.3.2.Inv-Depr-Ajus'!D17-'2.2.3.2.Inv-Depr-Ajus'!D32+'2.2.3.2.Inv-Depr-Ajus'!D47+'2.2.3.2.Inv-Depr-Ajus'!C32</f>
        <v>1134000</v>
      </c>
      <c r="E16" s="87">
        <f>D16+'2.2.3.2.Inv-Depr-Ajus'!E17-'2.2.3.2.Inv-Depr-Ajus'!E32+'2.2.3.2.Inv-Depr-Ajus'!E47+'2.2.3.2.Inv-Depr-Ajus'!D32</f>
        <v>1101000</v>
      </c>
      <c r="F16" s="87">
        <f>E16+'2.2.3.2.Inv-Depr-Ajus'!F17-'2.2.3.2.Inv-Depr-Ajus'!F32+'2.2.3.2.Inv-Depr-Ajus'!F47+'2.2.3.2.Inv-Depr-Ajus'!E32</f>
        <v>3855000</v>
      </c>
      <c r="G16" s="87">
        <f>F16+'2.2.3.2.Inv-Depr-Ajus'!G17-'2.2.3.2.Inv-Depr-Ajus'!G32+'2.2.3.2.Inv-Depr-Ajus'!G47+'2.2.3.2.Inv-Depr-Ajus'!F32</f>
        <v>4341000</v>
      </c>
      <c r="H16" s="87">
        <f>G16+'2.2.3.2.Inv-Depr-Ajus'!H17-'2.2.3.2.Inv-Depr-Ajus'!H32+'2.2.3.2.Inv-Depr-Ajus'!H47+'2.2.3.2.Inv-Depr-Ajus'!G32</f>
        <v>66210000</v>
      </c>
      <c r="I16" s="87">
        <f>H16+'2.2.3.2.Inv-Depr-Ajus'!I17-'2.2.3.2.Inv-Depr-Ajus'!I32+'2.2.3.2.Inv-Depr-Ajus'!I47+'2.2.3.2.Inv-Depr-Ajus'!H32</f>
        <v>185598000</v>
      </c>
      <c r="J16" s="87">
        <f>I16+'2.2.3.2.Inv-Depr-Ajus'!J17-'2.2.3.2.Inv-Depr-Ajus'!J32+'2.2.3.2.Inv-Depr-Ajus'!J47+'2.2.3.2.Inv-Depr-Ajus'!I32</f>
        <v>188653000</v>
      </c>
      <c r="K16" s="87">
        <f>J16+'2.2.3.2.Inv-Depr-Ajus'!K17-'2.2.3.2.Inv-Depr-Ajus'!K32+'2.2.3.2.Inv-Depr-Ajus'!K47+'2.2.3.2.Inv-Depr-Ajus'!J32</f>
        <v>180307000</v>
      </c>
      <c r="L16" s="96">
        <f>K16+'2.2.3.2.Inv-Depr-Ajus'!L17-'2.2.3.2.Inv-Depr-Ajus'!L32+'2.2.3.2.Inv-Depr-Ajus'!L47+'2.2.3.2.Inv-Depr-Ajus'!K32</f>
        <v>176402000</v>
      </c>
    </row>
    <row r="17" spans="2:12">
      <c r="B17" s="89" t="s">
        <v>223</v>
      </c>
      <c r="C17" s="81"/>
      <c r="D17" s="81"/>
      <c r="E17" s="81"/>
      <c r="F17" s="81"/>
      <c r="G17" s="81"/>
      <c r="H17" s="81"/>
      <c r="I17" s="81"/>
      <c r="J17" s="81"/>
      <c r="K17" s="81"/>
      <c r="L17" s="97"/>
    </row>
    <row r="18" spans="2:12">
      <c r="B18" s="91" t="s">
        <v>85</v>
      </c>
      <c r="C18" s="85">
        <f>'2.2.3.4. Activos Iniciales'!C31</f>
        <v>16899637.146511625</v>
      </c>
      <c r="D18" s="85">
        <f>'2.2.3.4. Activos Iniciales'!D31</f>
        <v>16336315.908294572</v>
      </c>
      <c r="E18" s="85">
        <f>'2.2.3.4. Activos Iniciales'!E31</f>
        <v>15772994.670077518</v>
      </c>
      <c r="F18" s="85">
        <f>'2.2.3.4. Activos Iniciales'!F31</f>
        <v>15209673.431860464</v>
      </c>
      <c r="G18" s="85">
        <f>'2.2.3.4. Activos Iniciales'!G31</f>
        <v>14646352.19364341</v>
      </c>
      <c r="H18" s="85">
        <f>'2.2.3.4. Activos Iniciales'!H31</f>
        <v>14083030.955426356</v>
      </c>
      <c r="I18" s="85">
        <f>'2.2.3.4. Activos Iniciales'!I31</f>
        <v>13519709.717209302</v>
      </c>
      <c r="J18" s="85">
        <f>'2.2.3.4. Activos Iniciales'!J31</f>
        <v>12956388.478992246</v>
      </c>
      <c r="K18" s="85">
        <f>'2.2.3.4. Activos Iniciales'!K31</f>
        <v>12393067.240775192</v>
      </c>
      <c r="L18" s="92">
        <f>'2.2.3.4. Activos Iniciales'!L31</f>
        <v>11829746.002558136</v>
      </c>
    </row>
    <row r="19" spans="2:12" ht="15" thickBot="1">
      <c r="B19" s="98" t="s">
        <v>86</v>
      </c>
      <c r="C19" s="99">
        <f>'2.2.3.4. Activos Iniciales'!C32</f>
        <v>0</v>
      </c>
      <c r="D19" s="99">
        <f>'2.2.3.4. Activos Iniciales'!D32</f>
        <v>0</v>
      </c>
      <c r="E19" s="99">
        <f>'2.2.3.4. Activos Iniciales'!E32</f>
        <v>0</v>
      </c>
      <c r="F19" s="99">
        <f>'2.2.3.4. Activos Iniciales'!F32</f>
        <v>0</v>
      </c>
      <c r="G19" s="99">
        <f>'2.2.3.4. Activos Iniciales'!G32</f>
        <v>0</v>
      </c>
      <c r="H19" s="99">
        <f>'2.2.3.4. Activos Iniciales'!H32</f>
        <v>0</v>
      </c>
      <c r="I19" s="99">
        <f>'2.2.3.4. Activos Iniciales'!I32</f>
        <v>0</v>
      </c>
      <c r="J19" s="99">
        <f>'2.2.3.4. Activos Iniciales'!J32</f>
        <v>0</v>
      </c>
      <c r="K19" s="99">
        <f>'2.2.3.4. Activos Iniciales'!K32</f>
        <v>0</v>
      </c>
      <c r="L19" s="100">
        <f>'2.2.3.4. Activos Iniciales'!L32</f>
        <v>0</v>
      </c>
    </row>
    <row r="21" spans="2:12">
      <c r="C21" s="409"/>
      <c r="D21" s="409"/>
      <c r="E21" s="409"/>
      <c r="F21" s="409"/>
      <c r="G21" s="409"/>
      <c r="H21" s="409"/>
      <c r="I21" s="409"/>
      <c r="J21" s="409"/>
      <c r="K21" s="409"/>
      <c r="L21" s="409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CE331-7026-4109-9E90-84D57C8965A6}">
  <sheetPr>
    <tabColor theme="5" tint="-0.249977111117893"/>
  </sheetPr>
  <dimension ref="B3:M38"/>
  <sheetViews>
    <sheetView showGridLines="0" zoomScale="90" zoomScaleNormal="90" workbookViewId="0">
      <selection activeCell="P36" sqref="P36"/>
    </sheetView>
  </sheetViews>
  <sheetFormatPr baseColWidth="10" defaultRowHeight="14.5"/>
  <cols>
    <col min="2" max="2" width="23" bestFit="1" customWidth="1"/>
    <col min="3" max="3" width="12.1796875" bestFit="1" customWidth="1"/>
    <col min="4" max="4" width="12.453125" bestFit="1" customWidth="1"/>
    <col min="5" max="8" width="12.1796875" bestFit="1" customWidth="1"/>
    <col min="9" max="12" width="13.26953125" bestFit="1" customWidth="1"/>
  </cols>
  <sheetData>
    <row r="3" spans="2:13">
      <c r="B3" s="2" t="s">
        <v>225</v>
      </c>
    </row>
    <row r="5" spans="2:13">
      <c r="B5" s="50" t="s">
        <v>226</v>
      </c>
    </row>
    <row r="6" spans="2:13" ht="15" thickBot="1">
      <c r="B6" s="50"/>
    </row>
    <row r="7" spans="2:13">
      <c r="B7" s="88"/>
      <c r="C7" s="311" t="s">
        <v>107</v>
      </c>
      <c r="D7" s="311">
        <v>2014</v>
      </c>
      <c r="E7" s="311">
        <v>2015</v>
      </c>
      <c r="F7" s="311">
        <v>2016</v>
      </c>
      <c r="G7" s="311">
        <v>2017</v>
      </c>
      <c r="H7" s="311">
        <v>2018</v>
      </c>
      <c r="I7" s="311">
        <v>2019</v>
      </c>
      <c r="J7" s="311">
        <v>2020</v>
      </c>
      <c r="K7" s="311">
        <v>2021</v>
      </c>
      <c r="L7" s="311">
        <v>2022</v>
      </c>
      <c r="M7" s="312">
        <v>2023</v>
      </c>
    </row>
    <row r="8" spans="2:13">
      <c r="B8" s="89" t="s">
        <v>94</v>
      </c>
      <c r="C8" s="334"/>
      <c r="D8" s="80"/>
      <c r="E8" s="80"/>
      <c r="F8" s="80"/>
      <c r="G8" s="80"/>
      <c r="H8" s="80"/>
      <c r="I8" s="80"/>
      <c r="J8" s="80"/>
      <c r="K8" s="80"/>
      <c r="L8" s="80"/>
      <c r="M8" s="90"/>
    </row>
    <row r="9" spans="2:13">
      <c r="B9" s="91" t="s">
        <v>95</v>
      </c>
      <c r="C9" s="335" t="s">
        <v>227</v>
      </c>
      <c r="D9" s="339">
        <f>'6.3.IPME'!C21</f>
        <v>1</v>
      </c>
      <c r="E9" s="339">
        <f>'6.3.IPME'!D21</f>
        <v>0.96641475426838075</v>
      </c>
      <c r="F9" s="339">
        <f>'6.3.IPME'!E21</f>
        <v>0.95375537256401044</v>
      </c>
      <c r="G9" s="339">
        <f>'6.3.IPME'!F21</f>
        <v>0.96402716013387579</v>
      </c>
      <c r="H9" s="339">
        <f>'6.3.IPME'!G21</f>
        <v>0.96142565699306981</v>
      </c>
      <c r="I9" s="339">
        <f>'6.3.IPME'!H21</f>
        <v>0.9616261095288986</v>
      </c>
      <c r="J9" s="339">
        <f>'6.3.IPME'!I21</f>
        <v>0.95083501540747817</v>
      </c>
      <c r="K9" s="339">
        <f>'6.3.IPME'!J21</f>
        <v>0.93792056724008865</v>
      </c>
      <c r="L9" s="339">
        <f>'6.3.IPME'!K21</f>
        <v>0.98476043995401552</v>
      </c>
      <c r="M9" s="340">
        <f>'6.3.IPME'!L21</f>
        <v>1.022425849129087</v>
      </c>
    </row>
    <row r="10" spans="2:13">
      <c r="B10" s="93" t="s">
        <v>96</v>
      </c>
      <c r="C10" s="335" t="s">
        <v>227</v>
      </c>
      <c r="D10" s="341">
        <f>'6.3.IPME'!C21</f>
        <v>1</v>
      </c>
      <c r="E10" s="341">
        <f>'6.3.IPME'!D21</f>
        <v>0.96641475426838075</v>
      </c>
      <c r="F10" s="341">
        <f>'6.3.IPME'!E21</f>
        <v>0.95375537256401044</v>
      </c>
      <c r="G10" s="341">
        <f>'6.3.IPME'!F21</f>
        <v>0.96402716013387579</v>
      </c>
      <c r="H10" s="341">
        <f>'6.3.IPME'!G21</f>
        <v>0.96142565699306981</v>
      </c>
      <c r="I10" s="341">
        <f>'6.3.IPME'!H21</f>
        <v>0.9616261095288986</v>
      </c>
      <c r="J10" s="341">
        <f>'6.3.IPME'!I21</f>
        <v>0.95083501540747817</v>
      </c>
      <c r="K10" s="341">
        <f>'6.3.IPME'!J21</f>
        <v>0.93792056724008865</v>
      </c>
      <c r="L10" s="341">
        <f>'6.3.IPME'!K21</f>
        <v>0.98476043995401552</v>
      </c>
      <c r="M10" s="342">
        <f>'6.3.IPME'!L21</f>
        <v>1.022425849129087</v>
      </c>
    </row>
    <row r="11" spans="2:13">
      <c r="B11" s="93" t="s">
        <v>97</v>
      </c>
      <c r="C11" s="335" t="s">
        <v>227</v>
      </c>
      <c r="D11" s="341">
        <f>'6.3.IPME'!C21</f>
        <v>1</v>
      </c>
      <c r="E11" s="341">
        <f>'6.3.IPME'!D21</f>
        <v>0.96641475426838075</v>
      </c>
      <c r="F11" s="341">
        <f>'6.3.IPME'!E21</f>
        <v>0.95375537256401044</v>
      </c>
      <c r="G11" s="341">
        <f>'6.3.IPME'!F21</f>
        <v>0.96402716013387579</v>
      </c>
      <c r="H11" s="341">
        <f>'6.3.IPME'!G21</f>
        <v>0.96142565699306981</v>
      </c>
      <c r="I11" s="341">
        <f>'6.3.IPME'!H21</f>
        <v>0.9616261095288986</v>
      </c>
      <c r="J11" s="341">
        <f>'6.3.IPME'!I21</f>
        <v>0.95083501540747817</v>
      </c>
      <c r="K11" s="341">
        <f>'6.3.IPME'!J21</f>
        <v>0.93792056724008865</v>
      </c>
      <c r="L11" s="341">
        <f>'6.3.IPME'!K21</f>
        <v>0.98476043995401552</v>
      </c>
      <c r="M11" s="342">
        <f>'6.3.IPME'!L21</f>
        <v>1.022425849129087</v>
      </c>
    </row>
    <row r="12" spans="2:13">
      <c r="B12" s="93" t="s">
        <v>98</v>
      </c>
      <c r="C12" s="335" t="s">
        <v>227</v>
      </c>
      <c r="D12" s="341">
        <f>'6.3.IPME'!C21</f>
        <v>1</v>
      </c>
      <c r="E12" s="341">
        <f>'6.3.IPME'!D21</f>
        <v>0.96641475426838075</v>
      </c>
      <c r="F12" s="341">
        <f>'6.3.IPME'!E21</f>
        <v>0.95375537256401044</v>
      </c>
      <c r="G12" s="341">
        <f>'6.3.IPME'!F21</f>
        <v>0.96402716013387579</v>
      </c>
      <c r="H12" s="341">
        <f>'6.3.IPME'!G21</f>
        <v>0.96142565699306981</v>
      </c>
      <c r="I12" s="341">
        <f>'6.3.IPME'!H21</f>
        <v>0.9616261095288986</v>
      </c>
      <c r="J12" s="341">
        <f>'6.3.IPME'!I21</f>
        <v>0.95083501540747817</v>
      </c>
      <c r="K12" s="341">
        <f>'6.3.IPME'!J21</f>
        <v>0.93792056724008865</v>
      </c>
      <c r="L12" s="341">
        <f>'6.3.IPME'!K21</f>
        <v>0.98476043995401552</v>
      </c>
      <c r="M12" s="342">
        <f>'6.3.IPME'!L21</f>
        <v>1.022425849129087</v>
      </c>
    </row>
    <row r="13" spans="2:13">
      <c r="B13" s="93" t="s">
        <v>99</v>
      </c>
      <c r="C13" s="335" t="s">
        <v>227</v>
      </c>
      <c r="D13" s="341">
        <f>'6.3.IPME'!C21</f>
        <v>1</v>
      </c>
      <c r="E13" s="341">
        <f>'6.3.IPME'!D21</f>
        <v>0.96641475426838075</v>
      </c>
      <c r="F13" s="341">
        <f>'6.3.IPME'!E21</f>
        <v>0.95375537256401044</v>
      </c>
      <c r="G13" s="341">
        <f>'6.3.IPME'!F21</f>
        <v>0.96402716013387579</v>
      </c>
      <c r="H13" s="341">
        <f>'6.3.IPME'!G21</f>
        <v>0.96142565699306981</v>
      </c>
      <c r="I13" s="341">
        <f>'6.3.IPME'!H21</f>
        <v>0.9616261095288986</v>
      </c>
      <c r="J13" s="341">
        <f>'6.3.IPME'!I21</f>
        <v>0.95083501540747817</v>
      </c>
      <c r="K13" s="341">
        <f>'6.3.IPME'!J21</f>
        <v>0.93792056724008865</v>
      </c>
      <c r="L13" s="341">
        <f>'6.3.IPME'!K21</f>
        <v>0.98476043995401552</v>
      </c>
      <c r="M13" s="342">
        <f>'6.3.IPME'!L21</f>
        <v>1.022425849129087</v>
      </c>
    </row>
    <row r="14" spans="2:13">
      <c r="B14" s="95" t="s">
        <v>100</v>
      </c>
      <c r="C14" s="336" t="s">
        <v>227</v>
      </c>
      <c r="D14" s="343">
        <f>'6.3.IPME'!C21</f>
        <v>1</v>
      </c>
      <c r="E14" s="343">
        <f>'6.3.IPME'!D21</f>
        <v>0.96641475426838075</v>
      </c>
      <c r="F14" s="343">
        <f>'6.3.IPME'!E21</f>
        <v>0.95375537256401044</v>
      </c>
      <c r="G14" s="343">
        <f>'6.3.IPME'!F21</f>
        <v>0.96402716013387579</v>
      </c>
      <c r="H14" s="343">
        <f>'6.3.IPME'!G21</f>
        <v>0.96142565699306981</v>
      </c>
      <c r="I14" s="343">
        <f>'6.3.IPME'!H21</f>
        <v>0.9616261095288986</v>
      </c>
      <c r="J14" s="343">
        <f>'6.3.IPME'!I21</f>
        <v>0.95083501540747817</v>
      </c>
      <c r="K14" s="343">
        <f>'6.3.IPME'!J21</f>
        <v>0.93792056724008865</v>
      </c>
      <c r="L14" s="343">
        <f>'6.3.IPME'!K21</f>
        <v>0.98476043995401552</v>
      </c>
      <c r="M14" s="344">
        <f>'6.3.IPME'!L21</f>
        <v>1.022425849129087</v>
      </c>
    </row>
    <row r="15" spans="2:13">
      <c r="B15" s="89" t="s">
        <v>222</v>
      </c>
      <c r="C15" s="81"/>
      <c r="D15" s="345"/>
      <c r="E15" s="345"/>
      <c r="F15" s="345"/>
      <c r="G15" s="345"/>
      <c r="H15" s="345"/>
      <c r="I15" s="345"/>
      <c r="J15" s="345"/>
      <c r="K15" s="345"/>
      <c r="L15" s="345"/>
      <c r="M15" s="346"/>
    </row>
    <row r="16" spans="2:13">
      <c r="B16" s="91" t="s">
        <v>101</v>
      </c>
      <c r="C16" s="337" t="s">
        <v>227</v>
      </c>
      <c r="D16" s="339">
        <f>'6.3.IPME'!C21</f>
        <v>1</v>
      </c>
      <c r="E16" s="339">
        <f>'6.3.IPME'!D21</f>
        <v>0.96641475426838075</v>
      </c>
      <c r="F16" s="339">
        <f>'6.3.IPME'!E21</f>
        <v>0.95375537256401044</v>
      </c>
      <c r="G16" s="339">
        <f>'6.3.IPME'!F21</f>
        <v>0.96402716013387579</v>
      </c>
      <c r="H16" s="339">
        <f>'6.3.IPME'!G21</f>
        <v>0.96142565699306981</v>
      </c>
      <c r="I16" s="339">
        <f>'6.3.IPME'!H21</f>
        <v>0.9616261095288986</v>
      </c>
      <c r="J16" s="339">
        <f>'6.3.IPME'!I21</f>
        <v>0.95083501540747817</v>
      </c>
      <c r="K16" s="339">
        <f>'6.3.IPME'!J21</f>
        <v>0.93792056724008865</v>
      </c>
      <c r="L16" s="339">
        <f>'6.3.IPME'!K21</f>
        <v>0.98476043995401552</v>
      </c>
      <c r="M16" s="340">
        <f>'6.3.IPME'!L21</f>
        <v>1.022425849129087</v>
      </c>
    </row>
    <row r="17" spans="2:13">
      <c r="B17" s="95" t="s">
        <v>102</v>
      </c>
      <c r="C17" s="336" t="s">
        <v>227</v>
      </c>
      <c r="D17" s="343">
        <f>'6.3.IPME'!C21</f>
        <v>1</v>
      </c>
      <c r="E17" s="343">
        <f>'6.3.IPME'!D21</f>
        <v>0.96641475426838075</v>
      </c>
      <c r="F17" s="343">
        <f>'6.3.IPME'!E21</f>
        <v>0.95375537256401044</v>
      </c>
      <c r="G17" s="343">
        <f>'6.3.IPME'!F21</f>
        <v>0.96402716013387579</v>
      </c>
      <c r="H17" s="343">
        <f>'6.3.IPME'!G21</f>
        <v>0.96142565699306981</v>
      </c>
      <c r="I17" s="343">
        <f>'6.3.IPME'!H21</f>
        <v>0.9616261095288986</v>
      </c>
      <c r="J17" s="343">
        <f>'6.3.IPME'!I21</f>
        <v>0.95083501540747817</v>
      </c>
      <c r="K17" s="343">
        <f>'6.3.IPME'!J21</f>
        <v>0.93792056724008865</v>
      </c>
      <c r="L17" s="343">
        <f>'6.3.IPME'!K21</f>
        <v>0.98476043995401552</v>
      </c>
      <c r="M17" s="344">
        <f>'6.3.IPME'!L21</f>
        <v>1.022425849129087</v>
      </c>
    </row>
    <row r="18" spans="2:13">
      <c r="B18" s="89" t="s">
        <v>223</v>
      </c>
      <c r="C18" s="81"/>
      <c r="D18" s="345"/>
      <c r="E18" s="345"/>
      <c r="F18" s="345"/>
      <c r="G18" s="345"/>
      <c r="H18" s="345"/>
      <c r="I18" s="345"/>
      <c r="J18" s="345"/>
      <c r="K18" s="345"/>
      <c r="L18" s="345"/>
      <c r="M18" s="346"/>
    </row>
    <row r="19" spans="2:13">
      <c r="B19" s="91" t="s">
        <v>85</v>
      </c>
      <c r="C19" s="337" t="s">
        <v>227</v>
      </c>
      <c r="D19" s="339">
        <f>'6.3.IPME'!C21</f>
        <v>1</v>
      </c>
      <c r="E19" s="339">
        <f>'6.3.IPME'!D21</f>
        <v>0.96641475426838075</v>
      </c>
      <c r="F19" s="339">
        <f>'6.3.IPME'!E21</f>
        <v>0.95375537256401044</v>
      </c>
      <c r="G19" s="339">
        <f>'6.3.IPME'!F21</f>
        <v>0.96402716013387579</v>
      </c>
      <c r="H19" s="339">
        <f>'6.3.IPME'!G21</f>
        <v>0.96142565699306981</v>
      </c>
      <c r="I19" s="339">
        <f>'6.3.IPME'!H21</f>
        <v>0.9616261095288986</v>
      </c>
      <c r="J19" s="339">
        <f>'6.3.IPME'!I21</f>
        <v>0.95083501540747817</v>
      </c>
      <c r="K19" s="339">
        <f>'6.3.IPME'!J21</f>
        <v>0.93792056724008865</v>
      </c>
      <c r="L19" s="339">
        <f>'6.3.IPME'!K21</f>
        <v>0.98476043995401552</v>
      </c>
      <c r="M19" s="340">
        <f>'6.3.IPME'!L21</f>
        <v>1.022425849129087</v>
      </c>
    </row>
    <row r="20" spans="2:13" ht="15" thickBot="1">
      <c r="B20" s="98" t="s">
        <v>86</v>
      </c>
      <c r="C20" s="338" t="s">
        <v>227</v>
      </c>
      <c r="D20" s="347">
        <f>'6.3.IPME'!C21</f>
        <v>1</v>
      </c>
      <c r="E20" s="347">
        <f>'6.3.IPME'!D21</f>
        <v>0.96641475426838075</v>
      </c>
      <c r="F20" s="347">
        <f>'6.3.IPME'!E21</f>
        <v>0.95375537256401044</v>
      </c>
      <c r="G20" s="347">
        <f>'6.3.IPME'!F21</f>
        <v>0.96402716013387579</v>
      </c>
      <c r="H20" s="347">
        <f>'6.3.IPME'!G21</f>
        <v>0.96142565699306981</v>
      </c>
      <c r="I20" s="347">
        <f>'6.3.IPME'!H21</f>
        <v>0.9616261095288986</v>
      </c>
      <c r="J20" s="347">
        <f>'6.3.IPME'!I21</f>
        <v>0.95083501540747817</v>
      </c>
      <c r="K20" s="347">
        <f>'6.3.IPME'!J21</f>
        <v>0.93792056724008865</v>
      </c>
      <c r="L20" s="347">
        <f>'6.3.IPME'!K21</f>
        <v>0.98476043995401552</v>
      </c>
      <c r="M20" s="348">
        <f>'6.3.IPME'!L21</f>
        <v>1.022425849129087</v>
      </c>
    </row>
    <row r="23" spans="2:13">
      <c r="B23" s="50" t="s">
        <v>228</v>
      </c>
    </row>
    <row r="24" spans="2:13" ht="15" thickBot="1"/>
    <row r="25" spans="2:13">
      <c r="B25" s="88"/>
      <c r="C25" s="311">
        <v>2014</v>
      </c>
      <c r="D25" s="311">
        <v>2015</v>
      </c>
      <c r="E25" s="311">
        <v>2016</v>
      </c>
      <c r="F25" s="311">
        <v>2017</v>
      </c>
      <c r="G25" s="311">
        <v>2018</v>
      </c>
      <c r="H25" s="311">
        <v>2019</v>
      </c>
      <c r="I25" s="311">
        <v>2020</v>
      </c>
      <c r="J25" s="311">
        <v>2021</v>
      </c>
      <c r="K25" s="311">
        <v>2022</v>
      </c>
      <c r="L25" s="312">
        <v>2023</v>
      </c>
    </row>
    <row r="26" spans="2:13">
      <c r="B26" s="89" t="s">
        <v>94</v>
      </c>
      <c r="C26" s="80"/>
      <c r="D26" s="80"/>
      <c r="E26" s="80"/>
      <c r="F26" s="80"/>
      <c r="G26" s="80"/>
      <c r="H26" s="80"/>
      <c r="I26" s="80"/>
      <c r="J26" s="80"/>
      <c r="K26" s="80"/>
      <c r="L26" s="90"/>
    </row>
    <row r="27" spans="2:13">
      <c r="B27" s="91" t="s">
        <v>95</v>
      </c>
      <c r="C27" s="85">
        <f>'2.2.3.5.StockCapTotal'!C8/'2.2.3.6.StockCapTotalDef'!D9</f>
        <v>107000</v>
      </c>
      <c r="D27" s="85">
        <f>'2.2.3.5.StockCapTotal'!D8/'2.2.3.6.StockCapTotalDef'!E9</f>
        <v>92092.964854801903</v>
      </c>
      <c r="E27" s="85">
        <f>'2.2.3.5.StockCapTotal'!E8/'2.2.3.6.StockCapTotalDef'!F9</f>
        <v>118479.0180486413</v>
      </c>
      <c r="F27" s="85">
        <f>'2.2.3.5.StockCapTotal'!F8/'2.2.3.6.StockCapTotalDef'!G9</f>
        <v>85059.844152744146</v>
      </c>
      <c r="G27" s="85">
        <f>'2.2.3.5.StockCapTotal'!G8/'2.2.3.6.StockCapTotalDef'!H9</f>
        <v>299555.14282897481</v>
      </c>
      <c r="H27" s="85">
        <f>'2.2.3.5.StockCapTotal'!H8/'2.2.3.6.StockCapTotalDef'!I9</f>
        <v>235018.57713775843</v>
      </c>
      <c r="I27" s="85">
        <f>'2.2.3.5.StockCapTotal'!I8/'2.2.3.6.StockCapTotalDef'!J9</f>
        <v>219806.79782857338</v>
      </c>
      <c r="J27" s="85">
        <f>'2.2.3.5.StockCapTotal'!J8/'2.2.3.6.StockCapTotalDef'!K9</f>
        <v>341180.27813552198</v>
      </c>
      <c r="K27" s="85">
        <f>'2.2.3.5.StockCapTotal'!K8/'2.2.3.6.StockCapTotalDef'!L9</f>
        <v>252853.37417862494</v>
      </c>
      <c r="L27" s="92">
        <f>'2.2.3.5.StockCapTotal'!L8/'2.2.3.6.StockCapTotalDef'!M9</f>
        <v>341345.04746459791</v>
      </c>
    </row>
    <row r="28" spans="2:13">
      <c r="B28" s="93" t="s">
        <v>96</v>
      </c>
      <c r="C28" s="86">
        <f>'2.2.3.5.StockCapTotal'!C9/'2.2.3.6.StockCapTotalDef'!D10</f>
        <v>0</v>
      </c>
      <c r="D28" s="86">
        <f>'2.2.3.5.StockCapTotal'!D9/'2.2.3.6.StockCapTotalDef'!E10</f>
        <v>1414506.5500731932</v>
      </c>
      <c r="E28" s="86">
        <f>'2.2.3.5.StockCapTotal'!E9/'2.2.3.6.StockCapTotalDef'!F10</f>
        <v>3288054.8725711424</v>
      </c>
      <c r="F28" s="86">
        <f>'2.2.3.5.StockCapTotal'!F9/'2.2.3.6.StockCapTotalDef'!G10</f>
        <v>684628.01391233096</v>
      </c>
      <c r="G28" s="86">
        <f>'2.2.3.5.StockCapTotal'!G9/'2.2.3.6.StockCapTotalDef'!H10</f>
        <v>767610.053499248</v>
      </c>
      <c r="H28" s="86">
        <f>'2.2.3.5.StockCapTotal'!H9/'2.2.3.6.StockCapTotalDef'!I10</f>
        <v>446119.33447831136</v>
      </c>
      <c r="I28" s="86">
        <f>'2.2.3.5.StockCapTotal'!I9/'2.2.3.6.StockCapTotalDef'!J10</f>
        <v>210341.43332877834</v>
      </c>
      <c r="J28" s="86">
        <f>'2.2.3.5.StockCapTotal'!J9/'2.2.3.6.StockCapTotalDef'!K10</f>
        <v>533094.18458675314</v>
      </c>
      <c r="K28" s="86">
        <f>'2.2.3.5.StockCapTotal'!K9/'2.2.3.6.StockCapTotalDef'!L10</f>
        <v>724033.95899341197</v>
      </c>
      <c r="L28" s="94">
        <f>'2.2.3.5.StockCapTotal'!L9/'2.2.3.6.StockCapTotalDef'!M10</f>
        <v>588795.75522546691</v>
      </c>
    </row>
    <row r="29" spans="2:13">
      <c r="B29" s="93" t="s">
        <v>97</v>
      </c>
      <c r="C29" s="86">
        <f>'2.2.3.5.StockCapTotal'!C10/'2.2.3.6.StockCapTotalDef'!D11</f>
        <v>33000</v>
      </c>
      <c r="D29" s="86">
        <f>'2.2.3.5.StockCapTotal'!D10/'2.2.3.6.StockCapTotalDef'!E11</f>
        <v>108649.00348038426</v>
      </c>
      <c r="E29" s="86">
        <f>'2.2.3.5.StockCapTotal'!E10/'2.2.3.6.StockCapTotalDef'!F11</f>
        <v>101703.227882462</v>
      </c>
      <c r="F29" s="86">
        <f>'2.2.3.5.StockCapTotal'!F10/'2.2.3.6.StockCapTotalDef'!G11</f>
        <v>89209.10484312191</v>
      </c>
      <c r="G29" s="86">
        <f>'2.2.3.5.StockCapTotal'!G10/'2.2.3.6.StockCapTotalDef'!H11</f>
        <v>192422.57438666787</v>
      </c>
      <c r="H29" s="86">
        <f>'2.2.3.5.StockCapTotal'!H10/'2.2.3.6.StockCapTotalDef'!I11</f>
        <v>181983.41150047668</v>
      </c>
      <c r="I29" s="86">
        <f>'2.2.3.5.StockCapTotal'!I10/'2.2.3.6.StockCapTotalDef'!J11</f>
        <v>129359.98149719868</v>
      </c>
      <c r="J29" s="86">
        <f>'2.2.3.5.StockCapTotal'!J10/'2.2.3.6.StockCapTotalDef'!K11</f>
        <v>88493.634641401019</v>
      </c>
      <c r="K29" s="86">
        <f>'2.2.3.5.StockCapTotal'!K10/'2.2.3.6.StockCapTotalDef'!L11</f>
        <v>75145.179474772071</v>
      </c>
      <c r="L29" s="94">
        <f>'2.2.3.5.StockCapTotal'!L10/'2.2.3.6.StockCapTotalDef'!M11</f>
        <v>43034.905697542432</v>
      </c>
    </row>
    <row r="30" spans="2:13">
      <c r="B30" s="93" t="s">
        <v>98</v>
      </c>
      <c r="C30" s="86">
        <f>'2.2.3.5.StockCapTotal'!C11/'2.2.3.6.StockCapTotalDef'!D12</f>
        <v>19000</v>
      </c>
      <c r="D30" s="86">
        <f>'2.2.3.5.StockCapTotal'!D11/'2.2.3.6.StockCapTotalDef'!E12</f>
        <v>94162.469682999697</v>
      </c>
      <c r="E30" s="86">
        <f>'2.2.3.5.StockCapTotal'!E11/'2.2.3.6.StockCapTotalDef'!F12</f>
        <v>92266.845913986152</v>
      </c>
      <c r="F30" s="86">
        <f>'2.2.3.5.StockCapTotal'!F11/'2.2.3.6.StockCapTotalDef'!G12</f>
        <v>93358.365533499673</v>
      </c>
      <c r="G30" s="86">
        <f>'2.2.3.5.StockCapTotal'!G11/'2.2.3.6.StockCapTotalDef'!H12</f>
        <v>117533.78867942415</v>
      </c>
      <c r="H30" s="86">
        <f>'2.2.3.5.StockCapTotal'!H11/'2.2.3.6.StockCapTotalDef'!I12</f>
        <v>134147.77190606567</v>
      </c>
      <c r="I30" s="86">
        <f>'2.2.3.5.StockCapTotal'!I11/'2.2.3.6.StockCapTotalDef'!J12</f>
        <v>118842.90983075976</v>
      </c>
      <c r="J30" s="86">
        <f>'2.2.3.5.StockCapTotal'!J11/'2.2.3.6.StockCapTotalDef'!K12</f>
        <v>109817.40202487115</v>
      </c>
      <c r="K30" s="86">
        <f>'2.2.3.5.StockCapTotal'!K11/'2.2.3.6.StockCapTotalDef'!L12</f>
        <v>90377.310449388024</v>
      </c>
      <c r="L30" s="94">
        <f>'2.2.3.5.StockCapTotal'!L11/'2.2.3.6.StockCapTotalDef'!M12</f>
        <v>71398.820816377207</v>
      </c>
    </row>
    <row r="31" spans="2:13">
      <c r="B31" s="93" t="s">
        <v>99</v>
      </c>
      <c r="C31" s="86">
        <f>'2.2.3.5.StockCapTotal'!C12/'2.2.3.6.StockCapTotalDef'!D13</f>
        <v>4000</v>
      </c>
      <c r="D31" s="86">
        <f>'2.2.3.5.StockCapTotal'!D12/'2.2.3.6.StockCapTotalDef'!E13</f>
        <v>177977.41522501039</v>
      </c>
      <c r="E31" s="86">
        <f>'2.2.3.5.StockCapTotal'!E12/'2.2.3.6.StockCapTotalDef'!F13</f>
        <v>254782.3131488481</v>
      </c>
      <c r="F31" s="86">
        <f>'2.2.3.5.StockCapTotal'!F12/'2.2.3.6.StockCapTotalDef'!G13</f>
        <v>432560.42697188183</v>
      </c>
      <c r="G31" s="86">
        <f>'2.2.3.5.StockCapTotal'!G12/'2.2.3.6.StockCapTotalDef'!H13</f>
        <v>399406.85710529977</v>
      </c>
      <c r="H31" s="86">
        <f>'2.2.3.5.StockCapTotal'!H12/'2.2.3.6.StockCapTotalDef'!I13</f>
        <v>593785.87409584096</v>
      </c>
      <c r="I31" s="86">
        <f>'2.2.3.5.StockCapTotal'!I12/'2.2.3.6.StockCapTotalDef'!J13</f>
        <v>601576.49932030612</v>
      </c>
      <c r="J31" s="86">
        <f>'2.2.3.5.StockCapTotal'!J12/'2.2.3.6.StockCapTotalDef'!K13</f>
        <v>523498.48926419154</v>
      </c>
      <c r="K31" s="86">
        <f>'2.2.3.5.StockCapTotal'!K12/'2.2.3.6.StockCapTotalDef'!L13</f>
        <v>342215.20922970521</v>
      </c>
      <c r="L31" s="94">
        <f>'2.2.3.5.StockCapTotal'!L12/'2.2.3.6.StockCapTotalDef'!M13</f>
        <v>472405.89663438621</v>
      </c>
    </row>
    <row r="32" spans="2:13">
      <c r="B32" s="95" t="s">
        <v>100</v>
      </c>
      <c r="C32" s="87">
        <f>'2.2.3.5.StockCapTotal'!C13/'2.2.3.6.StockCapTotalDef'!D14</f>
        <v>17000</v>
      </c>
      <c r="D32" s="87">
        <f>'2.2.3.5.StockCapTotal'!D13/'2.2.3.6.StockCapTotalDef'!E14</f>
        <v>49668.115876747092</v>
      </c>
      <c r="E32" s="87">
        <f>'2.2.3.5.StockCapTotal'!E13/'2.2.3.6.StockCapTotalDef'!F14</f>
        <v>71297.108206262026</v>
      </c>
      <c r="F32" s="87">
        <f>'2.2.3.5.StockCapTotal'!F13/'2.2.3.6.StockCapTotalDef'!G14</f>
        <v>107880.77794982184</v>
      </c>
      <c r="G32" s="87">
        <f>'2.2.3.5.StockCapTotal'!G13/'2.2.3.6.StockCapTotalDef'!H14</f>
        <v>79049.273802090582</v>
      </c>
      <c r="H32" s="87">
        <f>'2.2.3.5.StockCapTotal'!H13/'2.2.3.6.StockCapTotalDef'!I14</f>
        <v>59274.596888726686</v>
      </c>
      <c r="I32" s="87">
        <f>'2.2.3.5.StockCapTotal'!I13/'2.2.3.6.StockCapTotalDef'!J14</f>
        <v>34706.336499248428</v>
      </c>
      <c r="J32" s="87">
        <f>'2.2.3.5.StockCapTotal'!J13/'2.2.3.6.StockCapTotalDef'!K14</f>
        <v>22389.955752643629</v>
      </c>
      <c r="K32" s="87">
        <f>'2.2.3.5.StockCapTotal'!K13/'2.2.3.6.StockCapTotalDef'!L14</f>
        <v>26402.360356000998</v>
      </c>
      <c r="L32" s="96">
        <f>'2.2.3.5.StockCapTotal'!L13/'2.2.3.6.StockCapTotalDef'!M14</f>
        <v>21517.452848771216</v>
      </c>
    </row>
    <row r="33" spans="2:12">
      <c r="B33" s="89" t="s">
        <v>222</v>
      </c>
      <c r="C33" s="81"/>
      <c r="D33" s="81"/>
      <c r="E33" s="81"/>
      <c r="F33" s="81"/>
      <c r="G33" s="81"/>
      <c r="H33" s="81"/>
      <c r="I33" s="81"/>
      <c r="J33" s="81"/>
      <c r="K33" s="81"/>
      <c r="L33" s="97"/>
    </row>
    <row r="34" spans="2:12">
      <c r="B34" s="91" t="s">
        <v>101</v>
      </c>
      <c r="C34" s="85">
        <f>'2.2.3.5.StockCapTotal'!C15/'2.2.3.6.StockCapTotalDef'!D16</f>
        <v>5000</v>
      </c>
      <c r="D34" s="85">
        <f>'2.2.3.5.StockCapTotal'!D15/'2.2.3.6.StockCapTotalDef'!E16</f>
        <v>26903.56276657134</v>
      </c>
      <c r="E34" s="85">
        <f>'2.2.3.5.StockCapTotal'!E15/'2.2.3.6.StockCapTotalDef'!F16</f>
        <v>30406.119676199978</v>
      </c>
      <c r="F34" s="85">
        <f>'2.2.3.5.StockCapTotal'!F15/'2.2.3.6.StockCapTotalDef'!G16</f>
        <v>59126.964837883126</v>
      </c>
      <c r="G34" s="85">
        <f>'2.2.3.5.StockCapTotal'!G15/'2.2.3.6.StockCapTotalDef'!H16</f>
        <v>13521.586308252337</v>
      </c>
      <c r="H34" s="85">
        <f>'2.2.3.5.StockCapTotal'!H15/'2.2.3.6.StockCapTotalDef'!I16</f>
        <v>14558.672920038134</v>
      </c>
      <c r="I34" s="85">
        <f>'2.2.3.5.StockCapTotal'!I15/'2.2.3.6.StockCapTotalDef'!J16</f>
        <v>29447.800666028968</v>
      </c>
      <c r="J34" s="85">
        <f>'2.2.3.5.StockCapTotal'!J15/'2.2.3.6.StockCapTotalDef'!K16</f>
        <v>17059.013906776101</v>
      </c>
      <c r="K34" s="85">
        <f>'2.2.3.5.StockCapTotal'!K15/'2.2.3.6.StockCapTotalDef'!L16</f>
        <v>46711.868322155613</v>
      </c>
      <c r="L34" s="92">
        <f>'2.2.3.5.StockCapTotal'!L15/'2.2.3.6.StockCapTotalDef'!M16</f>
        <v>10758.726424385608</v>
      </c>
    </row>
    <row r="35" spans="2:12">
      <c r="B35" s="95" t="s">
        <v>102</v>
      </c>
      <c r="C35" s="87">
        <f>'2.2.3.5.StockCapTotal'!C16/'2.2.3.6.StockCapTotalDef'!D17</f>
        <v>1165000</v>
      </c>
      <c r="D35" s="87">
        <f>'2.2.3.5.StockCapTotal'!D16/'2.2.3.6.StockCapTotalDef'!E17</f>
        <v>1173409.23758815</v>
      </c>
      <c r="E35" s="87">
        <f>'2.2.3.5.StockCapTotal'!E16/'2.2.3.6.StockCapTotalDef'!F17</f>
        <v>1154384.060810213</v>
      </c>
      <c r="F35" s="87">
        <f>'2.2.3.5.StockCapTotal'!F16/'2.2.3.6.StockCapTotalDef'!G17</f>
        <v>3998849.9903515694</v>
      </c>
      <c r="G35" s="87">
        <f>'2.2.3.5.StockCapTotal'!G16/'2.2.3.6.StockCapTotalDef'!H17</f>
        <v>4515169.7049325686</v>
      </c>
      <c r="H35" s="87">
        <f>'2.2.3.5.StockCapTotal'!H16/'2.2.3.6.StockCapTotalDef'!I17</f>
        <v>68852123.85969463</v>
      </c>
      <c r="I35" s="87">
        <f>'2.2.3.5.StockCapTotal'!I16/'2.2.3.6.StockCapTotalDef'!J17</f>
        <v>195194746.71477303</v>
      </c>
      <c r="J35" s="87">
        <f>'2.2.3.5.StockCapTotal'!J16/'2.2.3.6.StockCapTotalDef'!K17</f>
        <v>201139634.40968946</v>
      </c>
      <c r="K35" s="87">
        <f>'2.2.3.5.StockCapTotal'!K16/'2.2.3.6.StockCapTotalDef'!L17</f>
        <v>183097322.642672</v>
      </c>
      <c r="L35" s="96">
        <f>'2.2.3.5.StockCapTotal'!L16/'2.2.3.6.StockCapTotalDef'!M17</f>
        <v>172532805.33767909</v>
      </c>
    </row>
    <row r="36" spans="2:12">
      <c r="B36" s="89" t="s">
        <v>223</v>
      </c>
      <c r="C36" s="81"/>
      <c r="D36" s="81"/>
      <c r="E36" s="81"/>
      <c r="F36" s="81"/>
      <c r="G36" s="81"/>
      <c r="H36" s="81"/>
      <c r="I36" s="81"/>
      <c r="J36" s="81"/>
      <c r="K36" s="81"/>
      <c r="L36" s="97"/>
    </row>
    <row r="37" spans="2:12">
      <c r="B37" s="91" t="s">
        <v>85</v>
      </c>
      <c r="C37" s="85">
        <f>'2.2.3.5.StockCapTotal'!C18/'2.2.3.6.StockCapTotalDef'!D19</f>
        <v>16899637.146511625</v>
      </c>
      <c r="D37" s="85">
        <f>'2.2.3.5.StockCapTotal'!D18/'2.2.3.6.StockCapTotalDef'!E19</f>
        <v>16904042.323590036</v>
      </c>
      <c r="E37" s="85">
        <f>'2.2.3.5.StockCapTotal'!E18/'2.2.3.6.StockCapTotalDef'!F19</f>
        <v>16537778.054842807</v>
      </c>
      <c r="F37" s="85">
        <f>'2.2.3.5.StockCapTotal'!F18/'2.2.3.6.StockCapTotalDef'!G19</f>
        <v>15777225.021075418</v>
      </c>
      <c r="G37" s="85">
        <f>'2.2.3.5.StockCapTotal'!G18/'2.2.3.6.StockCapTotalDef'!H19</f>
        <v>15233993.483646946</v>
      </c>
      <c r="H37" s="85">
        <f>'2.2.3.5.StockCapTotal'!H18/'2.2.3.6.StockCapTotalDef'!I19</f>
        <v>14645017.243058888</v>
      </c>
      <c r="I37" s="85">
        <f>'2.2.3.5.StockCapTotal'!I18/'2.2.3.6.StockCapTotalDef'!J19</f>
        <v>14218775.600534085</v>
      </c>
      <c r="J37" s="85">
        <f>'2.2.3.5.StockCapTotal'!J18/'2.2.3.6.StockCapTotalDef'!K19</f>
        <v>13813950.702795148</v>
      </c>
      <c r="K37" s="85">
        <f>'2.2.3.5.StockCapTotal'!K18/'2.2.3.6.StockCapTotalDef'!L19</f>
        <v>12584854.892580677</v>
      </c>
      <c r="L37" s="92">
        <f>'2.2.3.5.StockCapTotal'!L18/'2.2.3.6.StockCapTotalDef'!M19</f>
        <v>11570272.810135657</v>
      </c>
    </row>
    <row r="38" spans="2:12" ht="15" thickBot="1">
      <c r="B38" s="98" t="s">
        <v>86</v>
      </c>
      <c r="C38" s="99">
        <f>'2.2.3.5.StockCapTotal'!C19/'2.2.3.6.StockCapTotalDef'!D20</f>
        <v>0</v>
      </c>
      <c r="D38" s="99">
        <f>'2.2.3.5.StockCapTotal'!D19/'2.2.3.6.StockCapTotalDef'!E20</f>
        <v>0</v>
      </c>
      <c r="E38" s="99">
        <f>'2.2.3.5.StockCapTotal'!E19/'2.2.3.6.StockCapTotalDef'!F20</f>
        <v>0</v>
      </c>
      <c r="F38" s="99">
        <f>'2.2.3.5.StockCapTotal'!F19/'2.2.3.6.StockCapTotalDef'!G20</f>
        <v>0</v>
      </c>
      <c r="G38" s="99">
        <f>'2.2.3.5.StockCapTotal'!G19/'2.2.3.6.StockCapTotalDef'!H20</f>
        <v>0</v>
      </c>
      <c r="H38" s="99">
        <f>'2.2.3.5.StockCapTotal'!H19/'2.2.3.6.StockCapTotalDef'!I20</f>
        <v>0</v>
      </c>
      <c r="I38" s="99">
        <f>'2.2.3.5.StockCapTotal'!I19/'2.2.3.6.StockCapTotalDef'!J20</f>
        <v>0</v>
      </c>
      <c r="J38" s="99">
        <f>'2.2.3.5.StockCapTotal'!J19/'2.2.3.6.StockCapTotalDef'!K20</f>
        <v>0</v>
      </c>
      <c r="K38" s="99">
        <f>'2.2.3.5.StockCapTotal'!K19/'2.2.3.6.StockCapTotalDef'!L20</f>
        <v>0</v>
      </c>
      <c r="L38" s="100">
        <f>'2.2.3.5.StockCapTotal'!L19/'2.2.3.6.StockCapTotalDef'!M20</f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BE895-947A-4C9E-ADAD-42E20770DC7B}">
  <sheetPr>
    <tabColor theme="5" tint="-0.249977111117893"/>
  </sheetPr>
  <dimension ref="B3:L19"/>
  <sheetViews>
    <sheetView showGridLines="0" zoomScale="90" zoomScaleNormal="90" workbookViewId="0">
      <selection activeCell="D11" sqref="D11"/>
    </sheetView>
  </sheetViews>
  <sheetFormatPr baseColWidth="10" defaultRowHeight="14.5"/>
  <cols>
    <col min="2" max="2" width="23" bestFit="1" customWidth="1"/>
    <col min="3" max="8" width="12.1796875" bestFit="1" customWidth="1"/>
    <col min="9" max="12" width="13.26953125" bestFit="1" customWidth="1"/>
  </cols>
  <sheetData>
    <row r="3" spans="2:12">
      <c r="B3" s="2" t="s">
        <v>229</v>
      </c>
    </row>
    <row r="5" spans="2:12" ht="15" thickBot="1"/>
    <row r="6" spans="2:12">
      <c r="B6" s="88"/>
      <c r="C6" s="311">
        <v>2014</v>
      </c>
      <c r="D6" s="311">
        <v>2015</v>
      </c>
      <c r="E6" s="311">
        <v>2016</v>
      </c>
      <c r="F6" s="311">
        <v>2017</v>
      </c>
      <c r="G6" s="311">
        <v>2018</v>
      </c>
      <c r="H6" s="311">
        <v>2019</v>
      </c>
      <c r="I6" s="311">
        <v>2020</v>
      </c>
      <c r="J6" s="311">
        <v>2021</v>
      </c>
      <c r="K6" s="311">
        <v>2022</v>
      </c>
      <c r="L6" s="312">
        <v>2023</v>
      </c>
    </row>
    <row r="7" spans="2:12">
      <c r="B7" s="89" t="s">
        <v>94</v>
      </c>
      <c r="C7" s="80"/>
      <c r="D7" s="80"/>
      <c r="E7" s="80"/>
      <c r="F7" s="80"/>
      <c r="G7" s="80"/>
      <c r="H7" s="80"/>
      <c r="I7" s="80"/>
      <c r="J7" s="80"/>
      <c r="K7" s="80"/>
      <c r="L7" s="90"/>
    </row>
    <row r="8" spans="2:12">
      <c r="B8" s="91" t="s">
        <v>95</v>
      </c>
      <c r="C8" s="85">
        <f>'2.2.3.6.StockCapTotalDef'!C27</f>
        <v>107000</v>
      </c>
      <c r="D8" s="85">
        <f>AVERAGE('2.2.3.6.StockCapTotalDef'!C27,'2.2.3.6.StockCapTotalDef'!D27)</f>
        <v>99546.482427400944</v>
      </c>
      <c r="E8" s="85">
        <f>AVERAGE('2.2.3.6.StockCapTotalDef'!D27,'2.2.3.6.StockCapTotalDef'!E27)</f>
        <v>105285.99145172161</v>
      </c>
      <c r="F8" s="85">
        <f>AVERAGE('2.2.3.6.StockCapTotalDef'!E27,'2.2.3.6.StockCapTotalDef'!F27)</f>
        <v>101769.43110069272</v>
      </c>
      <c r="G8" s="85">
        <f>AVERAGE('2.2.3.6.StockCapTotalDef'!F27,'2.2.3.6.StockCapTotalDef'!G27)</f>
        <v>192307.49349085949</v>
      </c>
      <c r="H8" s="85">
        <f>AVERAGE('2.2.3.6.StockCapTotalDef'!G27,'2.2.3.6.StockCapTotalDef'!H27)</f>
        <v>267286.85998336662</v>
      </c>
      <c r="I8" s="85">
        <f>AVERAGE('2.2.3.6.StockCapTotalDef'!H27,'2.2.3.6.StockCapTotalDef'!I27)</f>
        <v>227412.68748316591</v>
      </c>
      <c r="J8" s="85">
        <f>AVERAGE('2.2.3.6.StockCapTotalDef'!I27,'2.2.3.6.StockCapTotalDef'!J27)</f>
        <v>280493.53798204765</v>
      </c>
      <c r="K8" s="85">
        <f>AVERAGE('2.2.3.6.StockCapTotalDef'!J27,'2.2.3.6.StockCapTotalDef'!K27)</f>
        <v>297016.82615707349</v>
      </c>
      <c r="L8" s="92">
        <f>AVERAGE('2.2.3.6.StockCapTotalDef'!K27,'2.2.3.6.StockCapTotalDef'!L27)</f>
        <v>297099.21082161146</v>
      </c>
    </row>
    <row r="9" spans="2:12">
      <c r="B9" s="93" t="s">
        <v>96</v>
      </c>
      <c r="C9" s="86">
        <f>'2.2.3.6.StockCapTotalDef'!C28</f>
        <v>0</v>
      </c>
      <c r="D9" s="86">
        <f>AVERAGE('2.2.3.6.StockCapTotalDef'!C28,'2.2.3.6.StockCapTotalDef'!D28)</f>
        <v>707253.27503659658</v>
      </c>
      <c r="E9" s="86">
        <f>AVERAGE('2.2.3.6.StockCapTotalDef'!D28,'2.2.3.6.StockCapTotalDef'!E28)</f>
        <v>2351280.7113221679</v>
      </c>
      <c r="F9" s="86">
        <f>AVERAGE('2.2.3.6.StockCapTotalDef'!E28,'2.2.3.6.StockCapTotalDef'!F28)</f>
        <v>1986341.4432417366</v>
      </c>
      <c r="G9" s="86">
        <f>AVERAGE('2.2.3.6.StockCapTotalDef'!F28,'2.2.3.6.StockCapTotalDef'!G28)</f>
        <v>726119.03370578948</v>
      </c>
      <c r="H9" s="86">
        <f>AVERAGE('2.2.3.6.StockCapTotalDef'!G28,'2.2.3.6.StockCapTotalDef'!H28)</f>
        <v>606864.69398877968</v>
      </c>
      <c r="I9" s="86">
        <f>AVERAGE('2.2.3.6.StockCapTotalDef'!H28,'2.2.3.6.StockCapTotalDef'!I28)</f>
        <v>328230.38390354486</v>
      </c>
      <c r="J9" s="86">
        <f>AVERAGE('2.2.3.6.StockCapTotalDef'!I28,'2.2.3.6.StockCapTotalDef'!J28)</f>
        <v>371717.80895776575</v>
      </c>
      <c r="K9" s="86">
        <f>AVERAGE('2.2.3.6.StockCapTotalDef'!J28,'2.2.3.6.StockCapTotalDef'!K28)</f>
        <v>628564.07179008261</v>
      </c>
      <c r="L9" s="94">
        <f>AVERAGE('2.2.3.6.StockCapTotalDef'!K28,'2.2.3.6.StockCapTotalDef'!L28)</f>
        <v>656414.85710943944</v>
      </c>
    </row>
    <row r="10" spans="2:12">
      <c r="B10" s="93" t="s">
        <v>97</v>
      </c>
      <c r="C10" s="86">
        <f>'2.2.3.6.StockCapTotalDef'!C29</f>
        <v>33000</v>
      </c>
      <c r="D10" s="86">
        <f>AVERAGE('2.2.3.6.StockCapTotalDef'!C29,'2.2.3.6.StockCapTotalDef'!D29)</f>
        <v>70824.501740192121</v>
      </c>
      <c r="E10" s="86">
        <f>AVERAGE('2.2.3.6.StockCapTotalDef'!D29,'2.2.3.6.StockCapTotalDef'!E29)</f>
        <v>105176.11568142314</v>
      </c>
      <c r="F10" s="86">
        <f>AVERAGE('2.2.3.6.StockCapTotalDef'!E29,'2.2.3.6.StockCapTotalDef'!F29)</f>
        <v>95456.166362791962</v>
      </c>
      <c r="G10" s="86">
        <f>AVERAGE('2.2.3.6.StockCapTotalDef'!F29,'2.2.3.6.StockCapTotalDef'!G29)</f>
        <v>140815.83961489488</v>
      </c>
      <c r="H10" s="86">
        <f>AVERAGE('2.2.3.6.StockCapTotalDef'!G29,'2.2.3.6.StockCapTotalDef'!H29)</f>
        <v>187202.99294357229</v>
      </c>
      <c r="I10" s="86">
        <f>AVERAGE('2.2.3.6.StockCapTotalDef'!H29,'2.2.3.6.StockCapTotalDef'!I29)</f>
        <v>155671.69649883767</v>
      </c>
      <c r="J10" s="86">
        <f>AVERAGE('2.2.3.6.StockCapTotalDef'!I29,'2.2.3.6.StockCapTotalDef'!J29)</f>
        <v>108926.80806929985</v>
      </c>
      <c r="K10" s="86">
        <f>AVERAGE('2.2.3.6.StockCapTotalDef'!J29,'2.2.3.6.StockCapTotalDef'!K29)</f>
        <v>81819.407058086537</v>
      </c>
      <c r="L10" s="94">
        <f>AVERAGE('2.2.3.6.StockCapTotalDef'!K29,'2.2.3.6.StockCapTotalDef'!L29)</f>
        <v>59090.042586157251</v>
      </c>
    </row>
    <row r="11" spans="2:12">
      <c r="B11" s="93" t="s">
        <v>98</v>
      </c>
      <c r="C11" s="86">
        <f>'2.2.3.6.StockCapTotalDef'!C30</f>
        <v>19000</v>
      </c>
      <c r="D11" s="86">
        <f>AVERAGE('2.2.3.6.StockCapTotalDef'!C30,'2.2.3.6.StockCapTotalDef'!D30)</f>
        <v>56581.234841499849</v>
      </c>
      <c r="E11" s="86">
        <f>AVERAGE('2.2.3.6.StockCapTotalDef'!D30,'2.2.3.6.StockCapTotalDef'!E30)</f>
        <v>93214.657798492932</v>
      </c>
      <c r="F11" s="86">
        <f>AVERAGE('2.2.3.6.StockCapTotalDef'!E30,'2.2.3.6.StockCapTotalDef'!F30)</f>
        <v>92812.60572374292</v>
      </c>
      <c r="G11" s="86">
        <f>AVERAGE('2.2.3.6.StockCapTotalDef'!F30,'2.2.3.6.StockCapTotalDef'!G30)</f>
        <v>105446.07710646192</v>
      </c>
      <c r="H11" s="86">
        <f>AVERAGE('2.2.3.6.StockCapTotalDef'!G30,'2.2.3.6.StockCapTotalDef'!H30)</f>
        <v>125840.78029274491</v>
      </c>
      <c r="I11" s="86">
        <f>AVERAGE('2.2.3.6.StockCapTotalDef'!H30,'2.2.3.6.StockCapTotalDef'!I30)</f>
        <v>126495.34086841272</v>
      </c>
      <c r="J11" s="86">
        <f>AVERAGE('2.2.3.6.StockCapTotalDef'!I30,'2.2.3.6.StockCapTotalDef'!J30)</f>
        <v>114330.15592781545</v>
      </c>
      <c r="K11" s="86">
        <f>AVERAGE('2.2.3.6.StockCapTotalDef'!J30,'2.2.3.6.StockCapTotalDef'!K30)</f>
        <v>100097.35623712958</v>
      </c>
      <c r="L11" s="94">
        <f>AVERAGE('2.2.3.6.StockCapTotalDef'!K30,'2.2.3.6.StockCapTotalDef'!L30)</f>
        <v>80888.065632882615</v>
      </c>
    </row>
    <row r="12" spans="2:12">
      <c r="B12" s="93" t="s">
        <v>99</v>
      </c>
      <c r="C12" s="86">
        <f>'2.2.3.6.StockCapTotalDef'!C31</f>
        <v>4000</v>
      </c>
      <c r="D12" s="86">
        <f>AVERAGE('2.2.3.6.StockCapTotalDef'!C31,'2.2.3.6.StockCapTotalDef'!D31)</f>
        <v>90988.707612505197</v>
      </c>
      <c r="E12" s="86">
        <f>AVERAGE('2.2.3.6.StockCapTotalDef'!D31,'2.2.3.6.StockCapTotalDef'!E31)</f>
        <v>216379.86418692925</v>
      </c>
      <c r="F12" s="86">
        <f>AVERAGE('2.2.3.6.StockCapTotalDef'!E31,'2.2.3.6.StockCapTotalDef'!F31)</f>
        <v>343671.37006036495</v>
      </c>
      <c r="G12" s="86">
        <f>AVERAGE('2.2.3.6.StockCapTotalDef'!F31,'2.2.3.6.StockCapTotalDef'!G31)</f>
        <v>415983.6420385908</v>
      </c>
      <c r="H12" s="86">
        <f>AVERAGE('2.2.3.6.StockCapTotalDef'!G31,'2.2.3.6.StockCapTotalDef'!H31)</f>
        <v>496596.36560057034</v>
      </c>
      <c r="I12" s="86">
        <f>AVERAGE('2.2.3.6.StockCapTotalDef'!H31,'2.2.3.6.StockCapTotalDef'!I31)</f>
        <v>597681.1867080736</v>
      </c>
      <c r="J12" s="86">
        <f>AVERAGE('2.2.3.6.StockCapTotalDef'!I31,'2.2.3.6.StockCapTotalDef'!J31)</f>
        <v>562537.49429224886</v>
      </c>
      <c r="K12" s="86">
        <f>AVERAGE('2.2.3.6.StockCapTotalDef'!J31,'2.2.3.6.StockCapTotalDef'!K31)</f>
        <v>432856.84924694838</v>
      </c>
      <c r="L12" s="94">
        <f>AVERAGE('2.2.3.6.StockCapTotalDef'!K31,'2.2.3.6.StockCapTotalDef'!L31)</f>
        <v>407310.55293204571</v>
      </c>
    </row>
    <row r="13" spans="2:12">
      <c r="B13" s="95" t="s">
        <v>100</v>
      </c>
      <c r="C13" s="87">
        <f>'2.2.3.6.StockCapTotalDef'!C32</f>
        <v>17000</v>
      </c>
      <c r="D13" s="87">
        <f>AVERAGE('2.2.3.6.StockCapTotalDef'!C32,'2.2.3.6.StockCapTotalDef'!D32)</f>
        <v>33334.057938373546</v>
      </c>
      <c r="E13" s="87">
        <f>AVERAGE('2.2.3.6.StockCapTotalDef'!D32,'2.2.3.6.StockCapTotalDef'!E32)</f>
        <v>60482.612041504559</v>
      </c>
      <c r="F13" s="87">
        <f>AVERAGE('2.2.3.6.StockCapTotalDef'!E32,'2.2.3.6.StockCapTotalDef'!F32)</f>
        <v>89588.943078041935</v>
      </c>
      <c r="G13" s="87">
        <f>AVERAGE('2.2.3.6.StockCapTotalDef'!F32,'2.2.3.6.StockCapTotalDef'!G32)</f>
        <v>93465.025875956213</v>
      </c>
      <c r="H13" s="87">
        <f>AVERAGE('2.2.3.6.StockCapTotalDef'!G32,'2.2.3.6.StockCapTotalDef'!H32)</f>
        <v>69161.935345408638</v>
      </c>
      <c r="I13" s="87">
        <f>AVERAGE('2.2.3.6.StockCapTotalDef'!H32,'2.2.3.6.StockCapTotalDef'!I32)</f>
        <v>46990.466693987561</v>
      </c>
      <c r="J13" s="87">
        <f>AVERAGE('2.2.3.6.StockCapTotalDef'!I32,'2.2.3.6.StockCapTotalDef'!J32)</f>
        <v>28548.146125946027</v>
      </c>
      <c r="K13" s="87">
        <f>AVERAGE('2.2.3.6.StockCapTotalDef'!J32,'2.2.3.6.StockCapTotalDef'!K32)</f>
        <v>24396.158054322314</v>
      </c>
      <c r="L13" s="96">
        <f>AVERAGE('2.2.3.6.StockCapTotalDef'!K32,'2.2.3.6.StockCapTotalDef'!L32)</f>
        <v>23959.906602386109</v>
      </c>
    </row>
    <row r="14" spans="2:12">
      <c r="B14" s="89" t="s">
        <v>222</v>
      </c>
      <c r="C14" s="81"/>
      <c r="D14" s="81"/>
      <c r="E14" s="81"/>
      <c r="F14" s="81"/>
      <c r="G14" s="81"/>
      <c r="H14" s="81"/>
      <c r="I14" s="81"/>
      <c r="J14" s="81"/>
      <c r="K14" s="81"/>
      <c r="L14" s="97"/>
    </row>
    <row r="15" spans="2:12">
      <c r="B15" s="91" t="s">
        <v>101</v>
      </c>
      <c r="C15" s="85">
        <f>'2.2.3.6.StockCapTotalDef'!C34</f>
        <v>5000</v>
      </c>
      <c r="D15" s="85">
        <f>AVERAGE('2.2.3.6.StockCapTotalDef'!C34,'2.2.3.6.StockCapTotalDef'!D34)</f>
        <v>15951.78138328567</v>
      </c>
      <c r="E15" s="85">
        <f>AVERAGE('2.2.3.6.StockCapTotalDef'!D34,'2.2.3.6.StockCapTotalDef'!E34)</f>
        <v>28654.841221385657</v>
      </c>
      <c r="F15" s="85">
        <f>AVERAGE('2.2.3.6.StockCapTotalDef'!E34,'2.2.3.6.StockCapTotalDef'!F34)</f>
        <v>44766.542257041554</v>
      </c>
      <c r="G15" s="85">
        <f>AVERAGE('2.2.3.6.StockCapTotalDef'!F34,'2.2.3.6.StockCapTotalDef'!G34)</f>
        <v>36324.275573067731</v>
      </c>
      <c r="H15" s="85">
        <f>AVERAGE('2.2.3.6.StockCapTotalDef'!G34,'2.2.3.6.StockCapTotalDef'!H34)</f>
        <v>14040.129614145237</v>
      </c>
      <c r="I15" s="85">
        <f>AVERAGE('2.2.3.6.StockCapTotalDef'!H34,'2.2.3.6.StockCapTotalDef'!I34)</f>
        <v>22003.236793033553</v>
      </c>
      <c r="J15" s="85">
        <f>AVERAGE('2.2.3.6.StockCapTotalDef'!I34,'2.2.3.6.StockCapTotalDef'!J34)</f>
        <v>23253.407286402537</v>
      </c>
      <c r="K15" s="85">
        <f>AVERAGE('2.2.3.6.StockCapTotalDef'!J34,'2.2.3.6.StockCapTotalDef'!K34)</f>
        <v>31885.441114465859</v>
      </c>
      <c r="L15" s="92">
        <f>AVERAGE('2.2.3.6.StockCapTotalDef'!K34,'2.2.3.6.StockCapTotalDef'!L34)</f>
        <v>28735.297373270609</v>
      </c>
    </row>
    <row r="16" spans="2:12">
      <c r="B16" s="95" t="s">
        <v>102</v>
      </c>
      <c r="C16" s="87">
        <f>'2.2.3.6.StockCapTotalDef'!C35</f>
        <v>1165000</v>
      </c>
      <c r="D16" s="87">
        <f>AVERAGE('2.2.3.6.StockCapTotalDef'!C35,'2.2.3.6.StockCapTotalDef'!D35)</f>
        <v>1169204.618794075</v>
      </c>
      <c r="E16" s="87">
        <f>AVERAGE('2.2.3.6.StockCapTotalDef'!D35,'2.2.3.6.StockCapTotalDef'!E35)</f>
        <v>1163896.6491991815</v>
      </c>
      <c r="F16" s="87">
        <f>AVERAGE('2.2.3.6.StockCapTotalDef'!E35,'2.2.3.6.StockCapTotalDef'!F35)</f>
        <v>2576617.0255808914</v>
      </c>
      <c r="G16" s="87">
        <f>AVERAGE('2.2.3.6.StockCapTotalDef'!F35,'2.2.3.6.StockCapTotalDef'!G35)</f>
        <v>4257009.8476420688</v>
      </c>
      <c r="H16" s="87">
        <f>AVERAGE('2.2.3.6.StockCapTotalDef'!G35,'2.2.3.6.StockCapTotalDef'!H35)</f>
        <v>36683646.7823136</v>
      </c>
      <c r="I16" s="87">
        <f>AVERAGE('2.2.3.6.StockCapTotalDef'!H35,'2.2.3.6.StockCapTotalDef'!I35)</f>
        <v>132023435.28723383</v>
      </c>
      <c r="J16" s="87">
        <f>AVERAGE('2.2.3.6.StockCapTotalDef'!I35,'2.2.3.6.StockCapTotalDef'!J35)</f>
        <v>198167190.56223124</v>
      </c>
      <c r="K16" s="87">
        <f>AVERAGE('2.2.3.6.StockCapTotalDef'!J35,'2.2.3.6.StockCapTotalDef'!K35)</f>
        <v>192118478.52618074</v>
      </c>
      <c r="L16" s="96">
        <f>AVERAGE('2.2.3.6.StockCapTotalDef'!K35,'2.2.3.6.StockCapTotalDef'!L35)</f>
        <v>177815063.99017555</v>
      </c>
    </row>
    <row r="17" spans="2:12">
      <c r="B17" s="89" t="s">
        <v>223</v>
      </c>
      <c r="C17" s="81"/>
      <c r="D17" s="81"/>
      <c r="E17" s="81"/>
      <c r="F17" s="81"/>
      <c r="G17" s="81"/>
      <c r="H17" s="81"/>
      <c r="I17" s="81"/>
      <c r="J17" s="81"/>
      <c r="K17" s="81"/>
      <c r="L17" s="97"/>
    </row>
    <row r="18" spans="2:12">
      <c r="B18" s="91" t="s">
        <v>85</v>
      </c>
      <c r="C18" s="85">
        <f>'2.2.3.6.StockCapTotalDef'!C37</f>
        <v>16899637.146511625</v>
      </c>
      <c r="D18" s="85">
        <f>AVERAGE('2.2.3.6.StockCapTotalDef'!C37,'2.2.3.6.StockCapTotalDef'!D37)</f>
        <v>16901839.735050831</v>
      </c>
      <c r="E18" s="85">
        <f>AVERAGE('2.2.3.6.StockCapTotalDef'!D37,'2.2.3.6.StockCapTotalDef'!E37)</f>
        <v>16720910.189216422</v>
      </c>
      <c r="F18" s="85">
        <f>AVERAGE('2.2.3.6.StockCapTotalDef'!E37,'2.2.3.6.StockCapTotalDef'!F37)</f>
        <v>16157501.537959114</v>
      </c>
      <c r="G18" s="85">
        <f>AVERAGE('2.2.3.6.StockCapTotalDef'!F37,'2.2.3.6.StockCapTotalDef'!G37)</f>
        <v>15505609.252361182</v>
      </c>
      <c r="H18" s="85">
        <f>AVERAGE('2.2.3.6.StockCapTotalDef'!G37,'2.2.3.6.StockCapTotalDef'!H37)</f>
        <v>14939505.363352917</v>
      </c>
      <c r="I18" s="85">
        <f>AVERAGE('2.2.3.6.StockCapTotalDef'!H37,'2.2.3.6.StockCapTotalDef'!I37)</f>
        <v>14431896.421796486</v>
      </c>
      <c r="J18" s="85">
        <f>AVERAGE('2.2.3.6.StockCapTotalDef'!I37,'2.2.3.6.StockCapTotalDef'!J37)</f>
        <v>14016363.151664617</v>
      </c>
      <c r="K18" s="85">
        <f>AVERAGE('2.2.3.6.StockCapTotalDef'!J37,'2.2.3.6.StockCapTotalDef'!K37)</f>
        <v>13199402.797687912</v>
      </c>
      <c r="L18" s="92">
        <f>AVERAGE('2.2.3.6.StockCapTotalDef'!K37,'2.2.3.6.StockCapTotalDef'!L37)</f>
        <v>12077563.851358168</v>
      </c>
    </row>
    <row r="19" spans="2:12" ht="15" thickBot="1">
      <c r="B19" s="98" t="s">
        <v>86</v>
      </c>
      <c r="C19" s="99">
        <f>'2.2.3.6.StockCapTotalDef'!C38</f>
        <v>0</v>
      </c>
      <c r="D19" s="99">
        <f>AVERAGE('2.2.3.6.StockCapTotalDef'!C38,'2.2.3.6.StockCapTotalDef'!D38)</f>
        <v>0</v>
      </c>
      <c r="E19" s="99">
        <f>AVERAGE('2.2.3.6.StockCapTotalDef'!D38,'2.2.3.6.StockCapTotalDef'!E38)</f>
        <v>0</v>
      </c>
      <c r="F19" s="99">
        <f>AVERAGE('2.2.3.6.StockCapTotalDef'!E38,'2.2.3.6.StockCapTotalDef'!F38)</f>
        <v>0</v>
      </c>
      <c r="G19" s="99">
        <f>AVERAGE('2.2.3.6.StockCapTotalDef'!F38,'2.2.3.6.StockCapTotalDef'!G38)</f>
        <v>0</v>
      </c>
      <c r="H19" s="99">
        <f>AVERAGE('2.2.3.6.StockCapTotalDef'!G38,'2.2.3.6.StockCapTotalDef'!H38)</f>
        <v>0</v>
      </c>
      <c r="I19" s="99">
        <f>AVERAGE('2.2.3.6.StockCapTotalDef'!H38,'2.2.3.6.StockCapTotalDef'!I38)</f>
        <v>0</v>
      </c>
      <c r="J19" s="99">
        <f>AVERAGE('2.2.3.6.StockCapTotalDef'!I38,'2.2.3.6.StockCapTotalDef'!J38)</f>
        <v>0</v>
      </c>
      <c r="K19" s="99">
        <f>AVERAGE('2.2.3.6.StockCapTotalDef'!J38,'2.2.3.6.StockCapTotalDef'!K38)</f>
        <v>0</v>
      </c>
      <c r="L19" s="100">
        <f>AVERAGE('2.2.3.6.StockCapTotalDef'!K38,'2.2.3.6.StockCapTotalDef'!L38)</f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FDA8C-A5B1-4E24-B51A-587ECFB6F71B}">
  <sheetPr>
    <tabColor theme="5" tint="-0.249977111117893"/>
  </sheetPr>
  <dimension ref="A1:BE433"/>
  <sheetViews>
    <sheetView showGridLines="0" zoomScale="80" zoomScaleNormal="80" workbookViewId="0">
      <pane xSplit="2" ySplit="9" topLeftCell="C309" activePane="bottomRight" state="frozen"/>
      <selection pane="topRight" activeCell="C1" sqref="C1"/>
      <selection pane="bottomLeft" activeCell="A10" sqref="A10"/>
      <selection pane="bottomRight" activeCell="K318" sqref="K318:K320"/>
    </sheetView>
  </sheetViews>
  <sheetFormatPr baseColWidth="10" defaultColWidth="0" defaultRowHeight="14.5" zeroHeight="1"/>
  <cols>
    <col min="1" max="1" width="7.7265625" style="3" bestFit="1" customWidth="1"/>
    <col min="2" max="2" width="55" style="3" customWidth="1"/>
    <col min="3" max="6" width="8.7265625" style="3" bestFit="1" customWidth="1"/>
    <col min="7" max="11" width="9.453125" style="3" bestFit="1" customWidth="1"/>
    <col min="12" max="14" width="11.453125" style="3" customWidth="1"/>
    <col min="15" max="57" width="0" style="3" hidden="1" customWidth="1"/>
    <col min="58" max="16384" width="11.453125" style="3" hidden="1"/>
  </cols>
  <sheetData>
    <row r="1" spans="1:11">
      <c r="D1" s="411"/>
      <c r="E1" s="411"/>
      <c r="F1" s="411">
        <f>'1. Factor X'!D15</f>
        <v>-5.4635196730062507E-2</v>
      </c>
    </row>
    <row r="2" spans="1:11">
      <c r="A2" s="101" t="s">
        <v>107</v>
      </c>
      <c r="D2" s="411"/>
      <c r="E2" s="411"/>
    </row>
    <row r="3" spans="1:11">
      <c r="D3" s="411"/>
      <c r="E3" s="411"/>
    </row>
    <row r="4" spans="1:11">
      <c r="B4" s="2" t="s">
        <v>108</v>
      </c>
    </row>
    <row r="5" spans="1:11">
      <c r="B5" s="79"/>
    </row>
    <row r="6" spans="1:11">
      <c r="B6" s="79"/>
    </row>
    <row r="7" spans="1:11">
      <c r="B7" s="50" t="s">
        <v>109</v>
      </c>
    </row>
    <row r="8" spans="1:11" ht="15" thickBot="1"/>
    <row r="9" spans="1:11">
      <c r="B9" s="208"/>
      <c r="C9" s="156">
        <v>2015</v>
      </c>
      <c r="D9" s="156">
        <v>2016</v>
      </c>
      <c r="E9" s="156">
        <v>2017</v>
      </c>
      <c r="F9" s="156">
        <v>2018</v>
      </c>
      <c r="G9" s="156">
        <v>2019</v>
      </c>
      <c r="H9" s="156">
        <v>2020</v>
      </c>
      <c r="I9" s="156">
        <v>2021</v>
      </c>
      <c r="J9" s="156">
        <v>2022</v>
      </c>
      <c r="K9" s="157">
        <v>2023</v>
      </c>
    </row>
    <row r="10" spans="1:11">
      <c r="B10" s="175" t="s">
        <v>110</v>
      </c>
      <c r="C10" s="209">
        <f>+C132</f>
        <v>5.2312982394253658E-2</v>
      </c>
      <c r="D10" s="209">
        <f>+D132</f>
        <v>5.1802786015652462E-2</v>
      </c>
      <c r="E10" s="209">
        <f>+E132</f>
        <v>5.1538501312231769E-2</v>
      </c>
      <c r="F10" s="209">
        <f>+F132</f>
        <v>5.0970309826854118E-2</v>
      </c>
      <c r="G10" s="209">
        <f t="shared" ref="G10:I10" si="0">+G132</f>
        <v>5.1463635887600098E-2</v>
      </c>
      <c r="H10" s="209">
        <f t="shared" si="0"/>
        <v>5.2128747076616674E-2</v>
      </c>
      <c r="I10" s="209">
        <f t="shared" si="0"/>
        <v>5.110439503871602E-2</v>
      </c>
      <c r="J10" s="209">
        <f>+J132</f>
        <v>4.8689804402703145E-2</v>
      </c>
      <c r="K10" s="210">
        <f>+K132</f>
        <v>4.8586785606841654E-2</v>
      </c>
    </row>
    <row r="11" spans="1:11">
      <c r="B11" s="175" t="s">
        <v>111</v>
      </c>
      <c r="C11" s="209">
        <f t="shared" ref="C11:J11" si="1">+C236</f>
        <v>0.11412215098966327</v>
      </c>
      <c r="D11" s="209">
        <f t="shared" si="1"/>
        <v>0.11416269770604888</v>
      </c>
      <c r="E11" s="209">
        <f t="shared" si="1"/>
        <v>0.11529483233537048</v>
      </c>
      <c r="F11" s="209">
        <f t="shared" si="1"/>
        <v>0.11356278960037729</v>
      </c>
      <c r="G11" s="209">
        <f t="shared" si="1"/>
        <v>0.11572098536524371</v>
      </c>
      <c r="H11" s="209">
        <f t="shared" si="1"/>
        <v>0.11641465238577038</v>
      </c>
      <c r="I11" s="209">
        <f t="shared" si="1"/>
        <v>0.11820479988719455</v>
      </c>
      <c r="J11" s="209">
        <f t="shared" si="1"/>
        <v>0.11506485762045068</v>
      </c>
      <c r="K11" s="210">
        <f t="shared" ref="K11" si="2">+K236</f>
        <v>0.116580920039511</v>
      </c>
    </row>
    <row r="12" spans="1:11">
      <c r="B12" s="175" t="s">
        <v>169</v>
      </c>
      <c r="C12" s="209">
        <f t="shared" ref="C12:J12" si="3">+C11-C10</f>
        <v>6.1809168595409615E-2</v>
      </c>
      <c r="D12" s="209">
        <f t="shared" si="3"/>
        <v>6.2359911690396418E-2</v>
      </c>
      <c r="E12" s="209">
        <f t="shared" si="3"/>
        <v>6.3756331023138713E-2</v>
      </c>
      <c r="F12" s="209">
        <f t="shared" si="3"/>
        <v>6.2592479773523169E-2</v>
      </c>
      <c r="G12" s="209">
        <f t="shared" si="3"/>
        <v>6.425734947764361E-2</v>
      </c>
      <c r="H12" s="209">
        <f t="shared" si="3"/>
        <v>6.4285905309153707E-2</v>
      </c>
      <c r="I12" s="209">
        <f t="shared" si="3"/>
        <v>6.710040484847854E-2</v>
      </c>
      <c r="J12" s="209">
        <f t="shared" si="3"/>
        <v>6.6375053217747532E-2</v>
      </c>
      <c r="K12" s="210">
        <f t="shared" ref="K12" si="4">+K11-K10</f>
        <v>6.7994134432669343E-2</v>
      </c>
    </row>
    <row r="13" spans="1:11">
      <c r="B13" s="175" t="s">
        <v>168</v>
      </c>
      <c r="C13" s="218">
        <f>+C14*(1+(1-C15)*(1-C16)*C17/C18)</f>
        <v>0.34021312109752538</v>
      </c>
      <c r="D13" s="218">
        <f>+D14*(1+(1-D15)*(1-D16)*D17/D18)</f>
        <v>0.57069067758518288</v>
      </c>
      <c r="E13" s="218">
        <f>+E14*(1+(1-E15)*(1-E16)*E17/E18)</f>
        <v>0.55403567489426708</v>
      </c>
      <c r="F13" s="218">
        <f>+F14*(1+(1-F15)*(1-F16)*F17/F18)</f>
        <v>1.0849854936631373</v>
      </c>
      <c r="G13" s="218">
        <f t="shared" ref="G13:J13" si="5">+G14*(1+(1-G15)*(1-G16)*G17/G18)</f>
        <v>2.2160123020875724</v>
      </c>
      <c r="H13" s="218">
        <f t="shared" si="5"/>
        <v>3.3809244619377328</v>
      </c>
      <c r="I13" s="218">
        <f t="shared" si="5"/>
        <v>3.6548984547497914</v>
      </c>
      <c r="J13" s="218">
        <f t="shared" si="5"/>
        <v>1.283986234095603</v>
      </c>
      <c r="K13" s="219">
        <f t="shared" ref="K13" si="6">+K14*(1+(1-K15)*(1-K16)*K17/K18)</f>
        <v>1.3197563823891496</v>
      </c>
    </row>
    <row r="14" spans="1:11">
      <c r="B14" s="220" t="s">
        <v>112</v>
      </c>
      <c r="C14" s="221">
        <f t="shared" ref="C14:E14" si="7">+C300</f>
        <v>0.34018919662595515</v>
      </c>
      <c r="D14" s="221">
        <f t="shared" si="7"/>
        <v>0.5706300561736084</v>
      </c>
      <c r="E14" s="221">
        <f t="shared" si="7"/>
        <v>0.55403567489426708</v>
      </c>
      <c r="F14" s="221">
        <f>+F300</f>
        <v>0.46667691850459392</v>
      </c>
      <c r="G14" s="222">
        <f t="shared" ref="G14:J14" si="8">+G300</f>
        <v>0.50599889245563145</v>
      </c>
      <c r="H14" s="222">
        <f t="shared" si="8"/>
        <v>0.55216815261869168</v>
      </c>
      <c r="I14" s="222">
        <f t="shared" si="8"/>
        <v>0.56277825270171544</v>
      </c>
      <c r="J14" s="222">
        <f t="shared" si="8"/>
        <v>0.48752360231144265</v>
      </c>
      <c r="K14" s="223">
        <f t="shared" ref="K14" si="9">+K300</f>
        <v>0.49814614858840872</v>
      </c>
    </row>
    <row r="15" spans="1:11">
      <c r="B15" s="220" t="s">
        <v>113</v>
      </c>
      <c r="C15" s="224">
        <v>0.28000000000000003</v>
      </c>
      <c r="D15" s="224">
        <v>0.28000000000000003</v>
      </c>
      <c r="E15" s="225">
        <v>0.29499999999999998</v>
      </c>
      <c r="F15" s="225">
        <v>0.29499999999999998</v>
      </c>
      <c r="G15" s="226">
        <v>0.29499999999999998</v>
      </c>
      <c r="H15" s="226">
        <v>0.29499999999999998</v>
      </c>
      <c r="I15" s="226">
        <v>0.29499999999999998</v>
      </c>
      <c r="J15" s="226">
        <v>0.29499999999999998</v>
      </c>
      <c r="K15" s="227">
        <v>0.29499999999999998</v>
      </c>
    </row>
    <row r="16" spans="1:11">
      <c r="B16" s="220" t="s">
        <v>114</v>
      </c>
      <c r="C16" s="224">
        <v>0.05</v>
      </c>
      <c r="D16" s="224">
        <v>0.05</v>
      </c>
      <c r="E16" s="224">
        <v>0.05</v>
      </c>
      <c r="F16" s="224">
        <v>0.05</v>
      </c>
      <c r="G16" s="224">
        <v>0.05</v>
      </c>
      <c r="H16" s="224">
        <v>0.05</v>
      </c>
      <c r="I16" s="224">
        <v>0.05</v>
      </c>
      <c r="J16" s="224">
        <v>0.05</v>
      </c>
      <c r="K16" s="228">
        <v>0.05</v>
      </c>
    </row>
    <row r="17" spans="2:11">
      <c r="B17" s="220" t="s">
        <v>115</v>
      </c>
      <c r="C17" s="229">
        <f t="shared" ref="C17:K17" si="10">C306</f>
        <v>1</v>
      </c>
      <c r="D17" s="229">
        <f t="shared" si="10"/>
        <v>2</v>
      </c>
      <c r="E17" s="229">
        <f t="shared" si="10"/>
        <v>0</v>
      </c>
      <c r="F17" s="229">
        <f t="shared" si="10"/>
        <v>54061</v>
      </c>
      <c r="G17" s="229">
        <f t="shared" si="10"/>
        <v>138454</v>
      </c>
      <c r="H17" s="229">
        <f t="shared" si="10"/>
        <v>174660</v>
      </c>
      <c r="I17" s="229">
        <f t="shared" si="10"/>
        <v>177379</v>
      </c>
      <c r="J17" s="229">
        <f t="shared" si="10"/>
        <v>145582</v>
      </c>
      <c r="K17" s="230">
        <f t="shared" si="10"/>
        <v>137734</v>
      </c>
    </row>
    <row r="18" spans="2:11">
      <c r="B18" s="220" t="s">
        <v>116</v>
      </c>
      <c r="C18" s="229">
        <f t="shared" ref="C18:K18" si="11">+C307</f>
        <v>9726</v>
      </c>
      <c r="D18" s="229">
        <f t="shared" si="11"/>
        <v>12877</v>
      </c>
      <c r="E18" s="229">
        <f t="shared" si="11"/>
        <v>15768</v>
      </c>
      <c r="F18" s="229">
        <f t="shared" si="11"/>
        <v>27328</v>
      </c>
      <c r="G18" s="229">
        <f t="shared" si="11"/>
        <v>27439</v>
      </c>
      <c r="H18" s="229">
        <f t="shared" si="11"/>
        <v>22834</v>
      </c>
      <c r="I18" s="229">
        <f t="shared" si="11"/>
        <v>21622</v>
      </c>
      <c r="J18" s="229">
        <f t="shared" si="11"/>
        <v>59683</v>
      </c>
      <c r="K18" s="230">
        <f t="shared" si="11"/>
        <v>55930</v>
      </c>
    </row>
    <row r="19" spans="2:11">
      <c r="B19" s="175" t="s">
        <v>117</v>
      </c>
      <c r="C19" s="209">
        <f>+C255</f>
        <v>2.0071119655198592E-2</v>
      </c>
      <c r="D19" s="209">
        <f>+D255</f>
        <v>1.9975514288025728E-2</v>
      </c>
      <c r="E19" s="209">
        <f>+E255</f>
        <v>1.4507051819271501E-2</v>
      </c>
      <c r="F19" s="209">
        <f>+F255</f>
        <v>1.4729140776676999E-2</v>
      </c>
      <c r="G19" s="209">
        <f t="shared" ref="G19:J19" si="12">+G255</f>
        <v>1.2866676783361567E-2</v>
      </c>
      <c r="H19" s="209">
        <f t="shared" si="12"/>
        <v>1.7344158432147559E-2</v>
      </c>
      <c r="I19" s="209">
        <f t="shared" si="12"/>
        <v>1.6536597810402155E-2</v>
      </c>
      <c r="J19" s="209">
        <f t="shared" si="12"/>
        <v>2.0885038677144113E-2</v>
      </c>
      <c r="K19" s="210">
        <f t="shared" ref="K19" si="13">+K255</f>
        <v>1.8386216356107658E-2</v>
      </c>
    </row>
    <row r="20" spans="2:11">
      <c r="B20" s="175"/>
      <c r="C20" s="211"/>
      <c r="D20" s="211"/>
      <c r="E20" s="211"/>
      <c r="F20" s="211"/>
      <c r="K20" s="174"/>
    </row>
    <row r="21" spans="2:11">
      <c r="B21" s="212" t="s">
        <v>118</v>
      </c>
      <c r="C21" s="103">
        <f t="shared" ref="C21:J21" si="14">+C10+C13*C12+C19</f>
        <v>9.3412392209739709E-2</v>
      </c>
      <c r="D21" s="103">
        <f t="shared" si="14"/>
        <v>0.10736652056042269</v>
      </c>
      <c r="E21" s="103">
        <f t="shared" si="14"/>
        <v>0.10136883501869023</v>
      </c>
      <c r="F21" s="103">
        <f t="shared" si="14"/>
        <v>0.1336113831702071</v>
      </c>
      <c r="G21" s="103">
        <f t="shared" si="14"/>
        <v>0.20672538961296033</v>
      </c>
      <c r="H21" s="103">
        <f t="shared" si="14"/>
        <v>0.28681869532629473</v>
      </c>
      <c r="I21" s="103">
        <f t="shared" si="14"/>
        <v>0.31288615884290782</v>
      </c>
      <c r="J21" s="103">
        <f t="shared" si="14"/>
        <v>0.15479949769879814</v>
      </c>
      <c r="K21" s="213">
        <f t="shared" ref="K21" si="15">+K10+K13*K12+K19</f>
        <v>0.15670869484549049</v>
      </c>
    </row>
    <row r="22" spans="2:11">
      <c r="B22" s="175"/>
      <c r="C22" s="211"/>
      <c r="D22" s="211"/>
      <c r="E22" s="211"/>
      <c r="F22" s="211"/>
      <c r="K22" s="174"/>
    </row>
    <row r="23" spans="2:11">
      <c r="B23" s="175" t="s">
        <v>119</v>
      </c>
      <c r="C23" s="209">
        <f t="shared" ref="C23:J23" si="16">+C328</f>
        <v>0</v>
      </c>
      <c r="D23" s="209">
        <f t="shared" si="16"/>
        <v>0</v>
      </c>
      <c r="E23" s="209">
        <f t="shared" si="16"/>
        <v>0</v>
      </c>
      <c r="F23" s="209">
        <f t="shared" si="16"/>
        <v>7.3814790647198592E-2</v>
      </c>
      <c r="G23" s="209">
        <f t="shared" si="16"/>
        <v>7.4674745422648139E-2</v>
      </c>
      <c r="H23" s="209">
        <f t="shared" si="16"/>
        <v>5.8909609650997584E-2</v>
      </c>
      <c r="I23" s="209">
        <f t="shared" si="16"/>
        <v>1.393400428120126E-2</v>
      </c>
      <c r="J23" s="209">
        <f t="shared" si="16"/>
        <v>2.142845369863014E-2</v>
      </c>
      <c r="K23" s="210">
        <f t="shared" ref="K23" si="17">+K328</f>
        <v>6.4617658904109587E-2</v>
      </c>
    </row>
    <row r="24" spans="2:11">
      <c r="B24" s="175" t="s">
        <v>120</v>
      </c>
      <c r="C24" s="104">
        <f t="shared" ref="C24:J24" si="18">+C23*(1-C15)</f>
        <v>0</v>
      </c>
      <c r="D24" s="104">
        <f t="shared" si="18"/>
        <v>0</v>
      </c>
      <c r="E24" s="104">
        <f t="shared" si="18"/>
        <v>0</v>
      </c>
      <c r="F24" s="104">
        <f t="shared" si="18"/>
        <v>5.2039427406275013E-2</v>
      </c>
      <c r="G24" s="104">
        <f t="shared" si="18"/>
        <v>5.2645695522966947E-2</v>
      </c>
      <c r="H24" s="104">
        <f t="shared" si="18"/>
        <v>4.15312748039533E-2</v>
      </c>
      <c r="I24" s="104">
        <f t="shared" si="18"/>
        <v>9.8234730182468893E-3</v>
      </c>
      <c r="J24" s="104">
        <f t="shared" si="18"/>
        <v>1.5107059857534251E-2</v>
      </c>
      <c r="K24" s="214">
        <f t="shared" ref="K24" si="19">+K23*(1-K15)</f>
        <v>4.5555449527397263E-2</v>
      </c>
    </row>
    <row r="25" spans="2:11">
      <c r="B25" s="175"/>
      <c r="C25" s="211"/>
      <c r="D25" s="211"/>
      <c r="E25" s="211"/>
      <c r="F25" s="211"/>
      <c r="K25" s="174"/>
    </row>
    <row r="26" spans="2:11">
      <c r="B26" s="175" t="s">
        <v>121</v>
      </c>
      <c r="C26" s="176">
        <f>+C17/SUM(C17:C18)</f>
        <v>1.0280662074637607E-4</v>
      </c>
      <c r="D26" s="176">
        <f>+D17/SUM(D17:D18)</f>
        <v>1.5529155990371923E-4</v>
      </c>
      <c r="E26" s="176">
        <f>+E17/SUM(E17:E18)</f>
        <v>0</v>
      </c>
      <c r="F26" s="176">
        <f>+F17/SUM(F17:F18)</f>
        <v>0.66422980992517411</v>
      </c>
      <c r="G26" s="176">
        <f t="shared" ref="G26:J26" si="20">+G17/SUM(G17:G18)</f>
        <v>0.83459820486699254</v>
      </c>
      <c r="H26" s="176">
        <f t="shared" si="20"/>
        <v>0.88438129765967577</v>
      </c>
      <c r="I26" s="176">
        <f t="shared" si="20"/>
        <v>0.8913472796619113</v>
      </c>
      <c r="J26" s="176">
        <f t="shared" si="20"/>
        <v>0.70923927605777892</v>
      </c>
      <c r="K26" s="177">
        <f t="shared" ref="K26" si="21">+K17/SUM(K17:K18)</f>
        <v>0.7112008426966292</v>
      </c>
    </row>
    <row r="27" spans="2:11">
      <c r="B27" s="175" t="s">
        <v>122</v>
      </c>
      <c r="C27" s="176">
        <f t="shared" ref="C27:J27" si="22">1-C26</f>
        <v>0.99989719337925365</v>
      </c>
      <c r="D27" s="176">
        <f t="shared" si="22"/>
        <v>0.99984470844009632</v>
      </c>
      <c r="E27" s="176">
        <f t="shared" si="22"/>
        <v>1</v>
      </c>
      <c r="F27" s="176">
        <f t="shared" si="22"/>
        <v>0.33577019007482589</v>
      </c>
      <c r="G27" s="176">
        <f t="shared" si="22"/>
        <v>0.16540179513300746</v>
      </c>
      <c r="H27" s="176">
        <f t="shared" si="22"/>
        <v>0.11561870234032423</v>
      </c>
      <c r="I27" s="176">
        <f t="shared" si="22"/>
        <v>0.1086527203380887</v>
      </c>
      <c r="J27" s="176">
        <f t="shared" si="22"/>
        <v>0.29076072394222108</v>
      </c>
      <c r="K27" s="177">
        <f t="shared" ref="K27" si="23">1-K26</f>
        <v>0.2887991573033708</v>
      </c>
    </row>
    <row r="28" spans="2:11">
      <c r="B28" s="175"/>
      <c r="C28" s="211"/>
      <c r="D28" s="211"/>
      <c r="E28" s="211"/>
      <c r="F28" s="211"/>
      <c r="K28" s="174"/>
    </row>
    <row r="29" spans="2:11" ht="15" thickBot="1">
      <c r="B29" s="215" t="s">
        <v>123</v>
      </c>
      <c r="C29" s="216">
        <f t="shared" ref="C29:J29" si="24">+C26*C24+C27*C21</f>
        <v>9.3402788797360789E-2</v>
      </c>
      <c r="D29" s="216">
        <f t="shared" si="24"/>
        <v>0.10734984744596343</v>
      </c>
      <c r="E29" s="216">
        <f t="shared" si="24"/>
        <v>0.10136883501869023</v>
      </c>
      <c r="F29" s="216">
        <f t="shared" si="24"/>
        <v>7.9428858497905777E-2</v>
      </c>
      <c r="G29" s="216">
        <f t="shared" si="24"/>
        <v>7.8130753518996482E-2</v>
      </c>
      <c r="H29" s="216">
        <f t="shared" si="24"/>
        <v>6.9891088065151832E-2</v>
      </c>
      <c r="I29" s="216">
        <f t="shared" si="24"/>
        <v>4.2752058266063812E-2</v>
      </c>
      <c r="J29" s="216">
        <f t="shared" si="24"/>
        <v>5.5724134213513861E-2</v>
      </c>
      <c r="K29" s="217">
        <f t="shared" ref="K29" si="25">+K26*K24+K27*K21</f>
        <v>7.7656413106797439E-2</v>
      </c>
    </row>
    <row r="30" spans="2:11"/>
    <row r="31" spans="2:11">
      <c r="C31" s="105"/>
      <c r="D31" s="105"/>
      <c r="E31" s="105"/>
      <c r="F31" s="105"/>
    </row>
    <row r="32" spans="2:11">
      <c r="B32" s="50" t="s">
        <v>124</v>
      </c>
    </row>
    <row r="33" spans="2:11" ht="15" thickBot="1"/>
    <row r="34" spans="2:11">
      <c r="B34" s="201" t="s">
        <v>125</v>
      </c>
      <c r="C34" s="202"/>
      <c r="D34" s="202"/>
      <c r="E34" s="202"/>
      <c r="F34" s="202"/>
      <c r="G34" s="202"/>
      <c r="H34" s="202"/>
      <c r="I34" s="202"/>
      <c r="J34" s="202"/>
      <c r="K34" s="203"/>
    </row>
    <row r="35" spans="2:11">
      <c r="B35" s="204" t="s">
        <v>126</v>
      </c>
      <c r="C35" s="106">
        <v>2015</v>
      </c>
      <c r="D35" s="106">
        <v>2016</v>
      </c>
      <c r="E35" s="106">
        <v>2017</v>
      </c>
      <c r="F35" s="106">
        <v>2018</v>
      </c>
      <c r="G35" s="106">
        <v>2019</v>
      </c>
      <c r="H35" s="106">
        <v>2020</v>
      </c>
      <c r="I35" s="106">
        <v>2021</v>
      </c>
      <c r="J35" s="106">
        <v>2022</v>
      </c>
      <c r="K35" s="205">
        <v>2023</v>
      </c>
    </row>
    <row r="36" spans="2:11">
      <c r="B36" s="196">
        <v>1928</v>
      </c>
      <c r="C36" s="133">
        <v>8.354708589799302E-3</v>
      </c>
      <c r="D36" s="133">
        <v>8.354708589799302E-3</v>
      </c>
      <c r="E36" s="133">
        <v>8.354708589799302E-3</v>
      </c>
      <c r="F36" s="133">
        <v>8.354708589799302E-3</v>
      </c>
      <c r="G36" s="133">
        <v>8.354708589799302E-3</v>
      </c>
      <c r="H36" s="133">
        <v>8.354708589799302E-3</v>
      </c>
      <c r="I36" s="133">
        <v>8.354708589799302E-3</v>
      </c>
      <c r="J36" s="133">
        <v>8.354708589799302E-3</v>
      </c>
      <c r="K36" s="149">
        <v>8.354708589799302E-3</v>
      </c>
    </row>
    <row r="37" spans="2:11">
      <c r="B37" s="196">
        <v>1929</v>
      </c>
      <c r="C37" s="133">
        <v>4.2038041563204259E-2</v>
      </c>
      <c r="D37" s="133">
        <v>4.2038041563204259E-2</v>
      </c>
      <c r="E37" s="133">
        <v>4.2038041563204259E-2</v>
      </c>
      <c r="F37" s="133">
        <v>4.2038041563204259E-2</v>
      </c>
      <c r="G37" s="133">
        <v>4.2038041563204259E-2</v>
      </c>
      <c r="H37" s="133">
        <v>4.2038041563204259E-2</v>
      </c>
      <c r="I37" s="133">
        <v>4.2038041563204259E-2</v>
      </c>
      <c r="J37" s="133">
        <v>4.2038041563204259E-2</v>
      </c>
      <c r="K37" s="149">
        <v>4.2038041563204259E-2</v>
      </c>
    </row>
    <row r="38" spans="2:11">
      <c r="B38" s="196">
        <v>1930</v>
      </c>
      <c r="C38" s="133">
        <v>4.5409314348970366E-2</v>
      </c>
      <c r="D38" s="133">
        <v>4.5409314348970366E-2</v>
      </c>
      <c r="E38" s="133">
        <v>4.5409314348970366E-2</v>
      </c>
      <c r="F38" s="133">
        <v>4.5409314348970366E-2</v>
      </c>
      <c r="G38" s="133">
        <v>4.5409314348970366E-2</v>
      </c>
      <c r="H38" s="133">
        <v>4.5409314348970366E-2</v>
      </c>
      <c r="I38" s="133">
        <v>4.5409314348970366E-2</v>
      </c>
      <c r="J38" s="133">
        <v>4.5409314348970366E-2</v>
      </c>
      <c r="K38" s="149">
        <v>4.5409314348970366E-2</v>
      </c>
    </row>
    <row r="39" spans="2:11">
      <c r="B39" s="196">
        <v>1931</v>
      </c>
      <c r="C39" s="133">
        <v>-2.5588559619422531E-2</v>
      </c>
      <c r="D39" s="133">
        <v>-2.5588559619422531E-2</v>
      </c>
      <c r="E39" s="133">
        <v>-2.5588559619422531E-2</v>
      </c>
      <c r="F39" s="133">
        <v>-2.5588559619422531E-2</v>
      </c>
      <c r="G39" s="133">
        <v>-2.5588559619422531E-2</v>
      </c>
      <c r="H39" s="133">
        <v>-2.5588559619422531E-2</v>
      </c>
      <c r="I39" s="133">
        <v>-2.5588559619422531E-2</v>
      </c>
      <c r="J39" s="133">
        <v>-2.5588559619422531E-2</v>
      </c>
      <c r="K39" s="149">
        <v>-2.5588559619422531E-2</v>
      </c>
    </row>
    <row r="40" spans="2:11">
      <c r="B40" s="196">
        <v>1932</v>
      </c>
      <c r="C40" s="133">
        <v>8.7903069904773257E-2</v>
      </c>
      <c r="D40" s="133">
        <v>8.7903069904773257E-2</v>
      </c>
      <c r="E40" s="133">
        <v>8.7903069904773257E-2</v>
      </c>
      <c r="F40" s="133">
        <v>8.7903069904773257E-2</v>
      </c>
      <c r="G40" s="133">
        <v>8.7903069904773257E-2</v>
      </c>
      <c r="H40" s="133">
        <v>8.7903069904773257E-2</v>
      </c>
      <c r="I40" s="133">
        <v>8.7903069904773257E-2</v>
      </c>
      <c r="J40" s="133">
        <v>8.7903069904773257E-2</v>
      </c>
      <c r="K40" s="149">
        <v>8.7903069904773257E-2</v>
      </c>
    </row>
    <row r="41" spans="2:11">
      <c r="B41" s="196">
        <v>1933</v>
      </c>
      <c r="C41" s="133">
        <v>1.8552720891857361E-2</v>
      </c>
      <c r="D41" s="133">
        <v>1.8552720891857361E-2</v>
      </c>
      <c r="E41" s="133">
        <v>1.8552720891857361E-2</v>
      </c>
      <c r="F41" s="133">
        <v>1.8552720891857361E-2</v>
      </c>
      <c r="G41" s="133">
        <v>1.8552720891857361E-2</v>
      </c>
      <c r="H41" s="133">
        <v>1.8552720891857361E-2</v>
      </c>
      <c r="I41" s="133">
        <v>1.8552720891857361E-2</v>
      </c>
      <c r="J41" s="133">
        <v>1.8552720891857361E-2</v>
      </c>
      <c r="K41" s="149">
        <v>1.8552720891857361E-2</v>
      </c>
    </row>
    <row r="42" spans="2:11">
      <c r="B42" s="196">
        <v>1934</v>
      </c>
      <c r="C42" s="133">
        <v>7.9634426179656104E-2</v>
      </c>
      <c r="D42" s="133">
        <v>7.9634426179656104E-2</v>
      </c>
      <c r="E42" s="133">
        <v>7.9634426179656104E-2</v>
      </c>
      <c r="F42" s="133">
        <v>7.9634426179656104E-2</v>
      </c>
      <c r="G42" s="133">
        <v>7.9634426179656104E-2</v>
      </c>
      <c r="H42" s="133">
        <v>7.9634426179656104E-2</v>
      </c>
      <c r="I42" s="133">
        <v>7.9634426179656104E-2</v>
      </c>
      <c r="J42" s="133">
        <v>7.9634426179656104E-2</v>
      </c>
      <c r="K42" s="149">
        <v>7.9634426179656104E-2</v>
      </c>
    </row>
    <row r="43" spans="2:11">
      <c r="B43" s="196">
        <v>1935</v>
      </c>
      <c r="C43" s="133">
        <v>4.4720477296566127E-2</v>
      </c>
      <c r="D43" s="133">
        <v>4.4720477296566127E-2</v>
      </c>
      <c r="E43" s="133">
        <v>4.4720477296566127E-2</v>
      </c>
      <c r="F43" s="133">
        <v>4.4720477296566127E-2</v>
      </c>
      <c r="G43" s="133">
        <v>4.4720477296566127E-2</v>
      </c>
      <c r="H43" s="133">
        <v>4.4720477296566127E-2</v>
      </c>
      <c r="I43" s="133">
        <v>4.4720477296566127E-2</v>
      </c>
      <c r="J43" s="133">
        <v>4.4720477296566127E-2</v>
      </c>
      <c r="K43" s="149">
        <v>4.4720477296566127E-2</v>
      </c>
    </row>
    <row r="44" spans="2:11">
      <c r="B44" s="196">
        <v>1936</v>
      </c>
      <c r="C44" s="133">
        <v>5.0178754045450601E-2</v>
      </c>
      <c r="D44" s="133">
        <v>5.0178754045450601E-2</v>
      </c>
      <c r="E44" s="133">
        <v>5.0178754045450601E-2</v>
      </c>
      <c r="F44" s="133">
        <v>5.0178754045450601E-2</v>
      </c>
      <c r="G44" s="133">
        <v>5.0178754045450601E-2</v>
      </c>
      <c r="H44" s="133">
        <v>5.0178754045450601E-2</v>
      </c>
      <c r="I44" s="133">
        <v>5.0178754045450601E-2</v>
      </c>
      <c r="J44" s="133">
        <v>5.0178754045450601E-2</v>
      </c>
      <c r="K44" s="149">
        <v>5.0178754045450601E-2</v>
      </c>
    </row>
    <row r="45" spans="2:11">
      <c r="B45" s="196">
        <v>1937</v>
      </c>
      <c r="C45" s="133">
        <v>1.379146059646038E-2</v>
      </c>
      <c r="D45" s="133">
        <v>1.379146059646038E-2</v>
      </c>
      <c r="E45" s="133">
        <v>1.379146059646038E-2</v>
      </c>
      <c r="F45" s="133">
        <v>1.379146059646038E-2</v>
      </c>
      <c r="G45" s="133">
        <v>1.379146059646038E-2</v>
      </c>
      <c r="H45" s="133">
        <v>1.379146059646038E-2</v>
      </c>
      <c r="I45" s="133">
        <v>1.379146059646038E-2</v>
      </c>
      <c r="J45" s="133">
        <v>1.379146059646038E-2</v>
      </c>
      <c r="K45" s="149">
        <v>1.379146059646038E-2</v>
      </c>
    </row>
    <row r="46" spans="2:11">
      <c r="B46" s="196">
        <v>1938</v>
      </c>
      <c r="C46" s="133">
        <v>4.2132485322046068E-2</v>
      </c>
      <c r="D46" s="133">
        <v>4.2132485322046068E-2</v>
      </c>
      <c r="E46" s="133">
        <v>4.2132485322046068E-2</v>
      </c>
      <c r="F46" s="133">
        <v>4.2132485322046068E-2</v>
      </c>
      <c r="G46" s="133">
        <v>4.2132485322046068E-2</v>
      </c>
      <c r="H46" s="133">
        <v>4.2132485322046068E-2</v>
      </c>
      <c r="I46" s="133">
        <v>4.2132485322046068E-2</v>
      </c>
      <c r="J46" s="133">
        <v>4.2132485322046068E-2</v>
      </c>
      <c r="K46" s="149">
        <v>4.2132485322046068E-2</v>
      </c>
    </row>
    <row r="47" spans="2:11">
      <c r="B47" s="196">
        <v>1939</v>
      </c>
      <c r="C47" s="133">
        <v>4.4122613942060671E-2</v>
      </c>
      <c r="D47" s="133">
        <v>4.4122613942060671E-2</v>
      </c>
      <c r="E47" s="133">
        <v>4.4122613942060671E-2</v>
      </c>
      <c r="F47" s="133">
        <v>4.4122613942060671E-2</v>
      </c>
      <c r="G47" s="133">
        <v>4.4122613942060671E-2</v>
      </c>
      <c r="H47" s="133">
        <v>4.4122613942060671E-2</v>
      </c>
      <c r="I47" s="133">
        <v>4.4122613942060671E-2</v>
      </c>
      <c r="J47" s="133">
        <v>4.4122613942060671E-2</v>
      </c>
      <c r="K47" s="149">
        <v>4.4122613942060671E-2</v>
      </c>
    </row>
    <row r="48" spans="2:11">
      <c r="B48" s="196">
        <v>1940</v>
      </c>
      <c r="C48" s="133">
        <v>5.4024815962845509E-2</v>
      </c>
      <c r="D48" s="133">
        <v>5.4024815962845509E-2</v>
      </c>
      <c r="E48" s="133">
        <v>5.4024815962845509E-2</v>
      </c>
      <c r="F48" s="133">
        <v>5.4024815962845509E-2</v>
      </c>
      <c r="G48" s="133">
        <v>5.4024815962845509E-2</v>
      </c>
      <c r="H48" s="133">
        <v>5.4024815962845509E-2</v>
      </c>
      <c r="I48" s="133">
        <v>5.4024815962845509E-2</v>
      </c>
      <c r="J48" s="133">
        <v>5.4024815962845509E-2</v>
      </c>
      <c r="K48" s="149">
        <v>5.4024815962845509E-2</v>
      </c>
    </row>
    <row r="49" spans="2:11">
      <c r="B49" s="196">
        <v>1941</v>
      </c>
      <c r="C49" s="133">
        <v>-2.0221975848580105E-2</v>
      </c>
      <c r="D49" s="133">
        <v>-2.0221975848580105E-2</v>
      </c>
      <c r="E49" s="133">
        <v>-2.0221975848580105E-2</v>
      </c>
      <c r="F49" s="133">
        <v>-2.0221975848580105E-2</v>
      </c>
      <c r="G49" s="133">
        <v>-2.0221975848580105E-2</v>
      </c>
      <c r="H49" s="133">
        <v>-2.0221975848580105E-2</v>
      </c>
      <c r="I49" s="133">
        <v>-2.0221975848580105E-2</v>
      </c>
      <c r="J49" s="133">
        <v>-2.0221975848580105E-2</v>
      </c>
      <c r="K49" s="149">
        <v>-2.0221975848580105E-2</v>
      </c>
    </row>
    <row r="50" spans="2:11">
      <c r="B50" s="196">
        <v>1942</v>
      </c>
      <c r="C50" s="133">
        <v>2.2948682374484164E-2</v>
      </c>
      <c r="D50" s="133">
        <v>2.2948682374484164E-2</v>
      </c>
      <c r="E50" s="133">
        <v>2.2948682374484164E-2</v>
      </c>
      <c r="F50" s="133">
        <v>2.2948682374484164E-2</v>
      </c>
      <c r="G50" s="133">
        <v>2.2948682374484164E-2</v>
      </c>
      <c r="H50" s="133">
        <v>2.2948682374484164E-2</v>
      </c>
      <c r="I50" s="133">
        <v>2.2948682374484164E-2</v>
      </c>
      <c r="J50" s="133">
        <v>2.2948682374484164E-2</v>
      </c>
      <c r="K50" s="149">
        <v>2.2948682374484164E-2</v>
      </c>
    </row>
    <row r="51" spans="2:11">
      <c r="B51" s="196">
        <v>1943</v>
      </c>
      <c r="C51" s="133">
        <v>2.4899999999999999E-2</v>
      </c>
      <c r="D51" s="133">
        <v>2.4899999999999999E-2</v>
      </c>
      <c r="E51" s="133">
        <v>2.4899999999999999E-2</v>
      </c>
      <c r="F51" s="133">
        <v>2.4899999999999999E-2</v>
      </c>
      <c r="G51" s="133">
        <v>2.4899999999999999E-2</v>
      </c>
      <c r="H51" s="133">
        <v>2.4899999999999999E-2</v>
      </c>
      <c r="I51" s="133">
        <v>2.4899999999999999E-2</v>
      </c>
      <c r="J51" s="133">
        <v>2.4899999999999999E-2</v>
      </c>
      <c r="K51" s="149">
        <v>2.4899999999999999E-2</v>
      </c>
    </row>
    <row r="52" spans="2:11">
      <c r="B52" s="196">
        <v>1944</v>
      </c>
      <c r="C52" s="133">
        <v>2.5776111579070303E-2</v>
      </c>
      <c r="D52" s="133">
        <v>2.5776111579070303E-2</v>
      </c>
      <c r="E52" s="133">
        <v>2.5776111579070303E-2</v>
      </c>
      <c r="F52" s="133">
        <v>2.5776111579070303E-2</v>
      </c>
      <c r="G52" s="133">
        <v>2.5776111579070303E-2</v>
      </c>
      <c r="H52" s="133">
        <v>2.5776111579070303E-2</v>
      </c>
      <c r="I52" s="133">
        <v>2.5776111579070303E-2</v>
      </c>
      <c r="J52" s="133">
        <v>2.5776111579070303E-2</v>
      </c>
      <c r="K52" s="149">
        <v>2.5776111579070303E-2</v>
      </c>
    </row>
    <row r="53" spans="2:11">
      <c r="B53" s="196">
        <v>1945</v>
      </c>
      <c r="C53" s="133">
        <v>3.8044173419237229E-2</v>
      </c>
      <c r="D53" s="133">
        <v>3.8044173419237229E-2</v>
      </c>
      <c r="E53" s="133">
        <v>3.8044173419237229E-2</v>
      </c>
      <c r="F53" s="133">
        <v>3.8044173419237229E-2</v>
      </c>
      <c r="G53" s="133">
        <v>3.8044173419237229E-2</v>
      </c>
      <c r="H53" s="133">
        <v>3.8044173419237229E-2</v>
      </c>
      <c r="I53" s="133">
        <v>3.8044173419237229E-2</v>
      </c>
      <c r="J53" s="133">
        <v>3.8044173419237229E-2</v>
      </c>
      <c r="K53" s="149">
        <v>3.8044173419237229E-2</v>
      </c>
    </row>
    <row r="54" spans="2:11">
      <c r="B54" s="196">
        <v>1946</v>
      </c>
      <c r="C54" s="133">
        <v>3.1283745375695685E-2</v>
      </c>
      <c r="D54" s="133">
        <v>3.1283745375695685E-2</v>
      </c>
      <c r="E54" s="133">
        <v>3.1283745375695685E-2</v>
      </c>
      <c r="F54" s="133">
        <v>3.1283745375695685E-2</v>
      </c>
      <c r="G54" s="133">
        <v>3.1283745375695685E-2</v>
      </c>
      <c r="H54" s="133">
        <v>3.1283745375695685E-2</v>
      </c>
      <c r="I54" s="133">
        <v>3.1283745375695685E-2</v>
      </c>
      <c r="J54" s="133">
        <v>3.1283745375695685E-2</v>
      </c>
      <c r="K54" s="149">
        <v>3.1283745375695685E-2</v>
      </c>
    </row>
    <row r="55" spans="2:11">
      <c r="B55" s="196">
        <v>1947</v>
      </c>
      <c r="C55" s="133">
        <v>9.1969680628322358E-3</v>
      </c>
      <c r="D55" s="133">
        <v>9.1969680628322358E-3</v>
      </c>
      <c r="E55" s="133">
        <v>9.1969680628322358E-3</v>
      </c>
      <c r="F55" s="133">
        <v>9.1969680628322358E-3</v>
      </c>
      <c r="G55" s="133">
        <v>9.1969680628322358E-3</v>
      </c>
      <c r="H55" s="133">
        <v>9.1969680628322358E-3</v>
      </c>
      <c r="I55" s="133">
        <v>9.1969680628322358E-3</v>
      </c>
      <c r="J55" s="133">
        <v>9.1969680628322358E-3</v>
      </c>
      <c r="K55" s="149">
        <v>9.1969680628322358E-3</v>
      </c>
    </row>
    <row r="56" spans="2:11">
      <c r="B56" s="196">
        <v>1948</v>
      </c>
      <c r="C56" s="133">
        <v>1.9510369413175046E-2</v>
      </c>
      <c r="D56" s="133">
        <v>1.9510369413175046E-2</v>
      </c>
      <c r="E56" s="133">
        <v>1.9510369413175046E-2</v>
      </c>
      <c r="F56" s="133">
        <v>1.9510369413175046E-2</v>
      </c>
      <c r="G56" s="133">
        <v>1.9510369413175046E-2</v>
      </c>
      <c r="H56" s="133">
        <v>1.9510369413175046E-2</v>
      </c>
      <c r="I56" s="133">
        <v>1.9510369413175046E-2</v>
      </c>
      <c r="J56" s="133">
        <v>1.9510369413175046E-2</v>
      </c>
      <c r="K56" s="149">
        <v>1.9510369413175046E-2</v>
      </c>
    </row>
    <row r="57" spans="2:11">
      <c r="B57" s="196">
        <v>1949</v>
      </c>
      <c r="C57" s="133">
        <v>4.6634851827973139E-2</v>
      </c>
      <c r="D57" s="133">
        <v>4.6634851827973139E-2</v>
      </c>
      <c r="E57" s="133">
        <v>4.6634851827973139E-2</v>
      </c>
      <c r="F57" s="133">
        <v>4.6634851827973139E-2</v>
      </c>
      <c r="G57" s="133">
        <v>4.6634851827973139E-2</v>
      </c>
      <c r="H57" s="133">
        <v>4.6634851827973139E-2</v>
      </c>
      <c r="I57" s="133">
        <v>4.6634851827973139E-2</v>
      </c>
      <c r="J57" s="133">
        <v>4.6634851827973139E-2</v>
      </c>
      <c r="K57" s="149">
        <v>4.6634851827973139E-2</v>
      </c>
    </row>
    <row r="58" spans="2:11">
      <c r="B58" s="196">
        <v>1950</v>
      </c>
      <c r="C58" s="133">
        <v>4.2959574171096103E-3</v>
      </c>
      <c r="D58" s="133">
        <v>4.2959574171096103E-3</v>
      </c>
      <c r="E58" s="133">
        <v>4.2959574171096103E-3</v>
      </c>
      <c r="F58" s="133">
        <v>4.2959574171096103E-3</v>
      </c>
      <c r="G58" s="133">
        <v>4.2959574171096103E-3</v>
      </c>
      <c r="H58" s="133">
        <v>4.2959574171096103E-3</v>
      </c>
      <c r="I58" s="133">
        <v>4.2959574171096103E-3</v>
      </c>
      <c r="J58" s="133">
        <v>4.2959574171096103E-3</v>
      </c>
      <c r="K58" s="149">
        <v>4.2959574171096103E-3</v>
      </c>
    </row>
    <row r="59" spans="2:11">
      <c r="B59" s="196">
        <v>1951</v>
      </c>
      <c r="C59" s="133">
        <v>-2.9531392208319886E-3</v>
      </c>
      <c r="D59" s="133">
        <v>-2.9531392208319886E-3</v>
      </c>
      <c r="E59" s="133">
        <v>-2.9531392208319886E-3</v>
      </c>
      <c r="F59" s="133">
        <v>-2.9531392208319886E-3</v>
      </c>
      <c r="G59" s="133">
        <v>-2.9531392208319886E-3</v>
      </c>
      <c r="H59" s="133">
        <v>-2.9531392208319886E-3</v>
      </c>
      <c r="I59" s="133">
        <v>-2.9531392208319886E-3</v>
      </c>
      <c r="J59" s="133">
        <v>-2.9531392208319886E-3</v>
      </c>
      <c r="K59" s="149">
        <v>-2.9531392208319886E-3</v>
      </c>
    </row>
    <row r="60" spans="2:11">
      <c r="B60" s="196">
        <v>1952</v>
      </c>
      <c r="C60" s="133">
        <v>2.2679961918305656E-2</v>
      </c>
      <c r="D60" s="133">
        <v>2.2679961918305656E-2</v>
      </c>
      <c r="E60" s="133">
        <v>2.2679961918305656E-2</v>
      </c>
      <c r="F60" s="133">
        <v>2.2679961918305656E-2</v>
      </c>
      <c r="G60" s="133">
        <v>2.2679961918305656E-2</v>
      </c>
      <c r="H60" s="133">
        <v>2.2679961918305656E-2</v>
      </c>
      <c r="I60" s="133">
        <v>2.2679961918305656E-2</v>
      </c>
      <c r="J60" s="133">
        <v>2.2679961918305656E-2</v>
      </c>
      <c r="K60" s="149">
        <v>2.2679961918305656E-2</v>
      </c>
    </row>
    <row r="61" spans="2:11">
      <c r="B61" s="196">
        <v>1953</v>
      </c>
      <c r="C61" s="133">
        <v>4.1438402589088513E-2</v>
      </c>
      <c r="D61" s="133">
        <v>4.1438402589088513E-2</v>
      </c>
      <c r="E61" s="133">
        <v>4.1438402589088513E-2</v>
      </c>
      <c r="F61" s="133">
        <v>4.1438402589088513E-2</v>
      </c>
      <c r="G61" s="133">
        <v>4.1438402589088513E-2</v>
      </c>
      <c r="H61" s="133">
        <v>4.1438402589088513E-2</v>
      </c>
      <c r="I61" s="133">
        <v>4.1438402589088513E-2</v>
      </c>
      <c r="J61" s="133">
        <v>4.1438402589088513E-2</v>
      </c>
      <c r="K61" s="149">
        <v>4.1438402589088513E-2</v>
      </c>
    </row>
    <row r="62" spans="2:11">
      <c r="B62" s="196">
        <v>1954</v>
      </c>
      <c r="C62" s="133">
        <v>3.2898034558095555E-2</v>
      </c>
      <c r="D62" s="133">
        <v>3.2898034558095555E-2</v>
      </c>
      <c r="E62" s="133">
        <v>3.2898034558095555E-2</v>
      </c>
      <c r="F62" s="133">
        <v>3.2898034558095555E-2</v>
      </c>
      <c r="G62" s="133">
        <v>3.2898034558095555E-2</v>
      </c>
      <c r="H62" s="133">
        <v>3.2898034558095555E-2</v>
      </c>
      <c r="I62" s="133">
        <v>3.2898034558095555E-2</v>
      </c>
      <c r="J62" s="133">
        <v>3.2898034558095555E-2</v>
      </c>
      <c r="K62" s="149">
        <v>3.2898034558095555E-2</v>
      </c>
    </row>
    <row r="63" spans="2:11">
      <c r="B63" s="196">
        <v>1955</v>
      </c>
      <c r="C63" s="133">
        <v>-1.3364391288618781E-2</v>
      </c>
      <c r="D63" s="133">
        <v>-1.3364391288618781E-2</v>
      </c>
      <c r="E63" s="133">
        <v>-1.3364391288618781E-2</v>
      </c>
      <c r="F63" s="133">
        <v>-1.3364391288618781E-2</v>
      </c>
      <c r="G63" s="133">
        <v>-1.3364391288618781E-2</v>
      </c>
      <c r="H63" s="133">
        <v>-1.3364391288618781E-2</v>
      </c>
      <c r="I63" s="133">
        <v>-1.3364391288618781E-2</v>
      </c>
      <c r="J63" s="133">
        <v>-1.3364391288618781E-2</v>
      </c>
      <c r="K63" s="149">
        <v>-1.3364391288618781E-2</v>
      </c>
    </row>
    <row r="64" spans="2:11">
      <c r="B64" s="196">
        <v>1956</v>
      </c>
      <c r="C64" s="133">
        <v>-2.2557738173154165E-2</v>
      </c>
      <c r="D64" s="133">
        <v>-2.2557738173154165E-2</v>
      </c>
      <c r="E64" s="133">
        <v>-2.2557738173154165E-2</v>
      </c>
      <c r="F64" s="133">
        <v>-2.2557738173154165E-2</v>
      </c>
      <c r="G64" s="133">
        <v>-2.2557738173154165E-2</v>
      </c>
      <c r="H64" s="133">
        <v>-2.2557738173154165E-2</v>
      </c>
      <c r="I64" s="133">
        <v>-2.2557738173154165E-2</v>
      </c>
      <c r="J64" s="133">
        <v>-2.2557738173154165E-2</v>
      </c>
      <c r="K64" s="149">
        <v>-2.2557738173154165E-2</v>
      </c>
    </row>
    <row r="65" spans="2:11">
      <c r="B65" s="196">
        <v>1957</v>
      </c>
      <c r="C65" s="133">
        <v>6.7970128466249904E-2</v>
      </c>
      <c r="D65" s="133">
        <v>6.7970128466249904E-2</v>
      </c>
      <c r="E65" s="133">
        <v>6.7970128466249904E-2</v>
      </c>
      <c r="F65" s="133">
        <v>6.7970128466249904E-2</v>
      </c>
      <c r="G65" s="133">
        <v>6.7970128466249904E-2</v>
      </c>
      <c r="H65" s="133">
        <v>6.7970128466249904E-2</v>
      </c>
      <c r="I65" s="133">
        <v>6.7970128466249904E-2</v>
      </c>
      <c r="J65" s="133">
        <v>6.7970128466249904E-2</v>
      </c>
      <c r="K65" s="149">
        <v>6.7970128466249904E-2</v>
      </c>
    </row>
    <row r="66" spans="2:11">
      <c r="B66" s="196">
        <v>1958</v>
      </c>
      <c r="C66" s="133">
        <v>-2.0990181755274694E-2</v>
      </c>
      <c r="D66" s="133">
        <v>-2.0990181755274694E-2</v>
      </c>
      <c r="E66" s="133">
        <v>-2.0990181755274694E-2</v>
      </c>
      <c r="F66" s="133">
        <v>-2.0990181755274694E-2</v>
      </c>
      <c r="G66" s="133">
        <v>-2.0990181755274694E-2</v>
      </c>
      <c r="H66" s="133">
        <v>-2.0990181755274694E-2</v>
      </c>
      <c r="I66" s="133">
        <v>-2.0990181755274694E-2</v>
      </c>
      <c r="J66" s="133">
        <v>-2.0990181755274694E-2</v>
      </c>
      <c r="K66" s="149">
        <v>-2.0990181755274694E-2</v>
      </c>
    </row>
    <row r="67" spans="2:11">
      <c r="B67" s="196">
        <v>1959</v>
      </c>
      <c r="C67" s="133">
        <v>-2.6466312591385065E-2</v>
      </c>
      <c r="D67" s="133">
        <v>-2.6466312591385065E-2</v>
      </c>
      <c r="E67" s="133">
        <v>-2.6466312591385065E-2</v>
      </c>
      <c r="F67" s="133">
        <v>-2.6466312591385065E-2</v>
      </c>
      <c r="G67" s="133">
        <v>-2.6466312591385065E-2</v>
      </c>
      <c r="H67" s="133">
        <v>-2.6466312591385065E-2</v>
      </c>
      <c r="I67" s="133">
        <v>-2.6466312591385065E-2</v>
      </c>
      <c r="J67" s="133">
        <v>-2.6466312591385065E-2</v>
      </c>
      <c r="K67" s="149">
        <v>-2.6466312591385065E-2</v>
      </c>
    </row>
    <row r="68" spans="2:11">
      <c r="B68" s="196">
        <v>1960</v>
      </c>
      <c r="C68" s="133">
        <v>0.11639503690963365</v>
      </c>
      <c r="D68" s="133">
        <v>0.11639503690963365</v>
      </c>
      <c r="E68" s="133">
        <v>0.11639503690963365</v>
      </c>
      <c r="F68" s="133">
        <v>0.11639503690963365</v>
      </c>
      <c r="G68" s="133">
        <v>0.11639503690963365</v>
      </c>
      <c r="H68" s="133">
        <v>0.11639503690963365</v>
      </c>
      <c r="I68" s="133">
        <v>0.11639503690963365</v>
      </c>
      <c r="J68" s="133">
        <v>0.11639503690963365</v>
      </c>
      <c r="K68" s="149">
        <v>0.11639503690963365</v>
      </c>
    </row>
    <row r="69" spans="2:11">
      <c r="B69" s="196">
        <v>1961</v>
      </c>
      <c r="C69" s="133">
        <v>2.0609208076323167E-2</v>
      </c>
      <c r="D69" s="133">
        <v>2.0609208076323167E-2</v>
      </c>
      <c r="E69" s="133">
        <v>2.0609208076323167E-2</v>
      </c>
      <c r="F69" s="133">
        <v>2.0609208076323167E-2</v>
      </c>
      <c r="G69" s="133">
        <v>2.0609208076323167E-2</v>
      </c>
      <c r="H69" s="133">
        <v>2.0609208076323167E-2</v>
      </c>
      <c r="I69" s="133">
        <v>2.0609208076323167E-2</v>
      </c>
      <c r="J69" s="133">
        <v>2.0609208076323167E-2</v>
      </c>
      <c r="K69" s="149">
        <v>2.0609208076323167E-2</v>
      </c>
    </row>
    <row r="70" spans="2:11">
      <c r="B70" s="196">
        <v>1962</v>
      </c>
      <c r="C70" s="133">
        <v>5.693544054008462E-2</v>
      </c>
      <c r="D70" s="133">
        <v>5.693544054008462E-2</v>
      </c>
      <c r="E70" s="133">
        <v>5.693544054008462E-2</v>
      </c>
      <c r="F70" s="133">
        <v>5.693544054008462E-2</v>
      </c>
      <c r="G70" s="133">
        <v>5.693544054008462E-2</v>
      </c>
      <c r="H70" s="133">
        <v>5.693544054008462E-2</v>
      </c>
      <c r="I70" s="133">
        <v>5.693544054008462E-2</v>
      </c>
      <c r="J70" s="133">
        <v>5.693544054008462E-2</v>
      </c>
      <c r="K70" s="149">
        <v>5.693544054008462E-2</v>
      </c>
    </row>
    <row r="71" spans="2:11">
      <c r="B71" s="196">
        <v>1963</v>
      </c>
      <c r="C71" s="133">
        <v>1.6841620739546127E-2</v>
      </c>
      <c r="D71" s="133">
        <v>1.6841620739546127E-2</v>
      </c>
      <c r="E71" s="133">
        <v>1.6841620739546127E-2</v>
      </c>
      <c r="F71" s="133">
        <v>1.6841620739546127E-2</v>
      </c>
      <c r="G71" s="133">
        <v>1.6841620739546127E-2</v>
      </c>
      <c r="H71" s="133">
        <v>1.6841620739546127E-2</v>
      </c>
      <c r="I71" s="133">
        <v>1.6841620739546127E-2</v>
      </c>
      <c r="J71" s="133">
        <v>1.6841620739546127E-2</v>
      </c>
      <c r="K71" s="149">
        <v>1.6841620739546127E-2</v>
      </c>
    </row>
    <row r="72" spans="2:11">
      <c r="B72" s="196">
        <v>1964</v>
      </c>
      <c r="C72" s="133">
        <v>3.7280648911540815E-2</v>
      </c>
      <c r="D72" s="133">
        <v>3.7280648911540815E-2</v>
      </c>
      <c r="E72" s="133">
        <v>3.7280648911540815E-2</v>
      </c>
      <c r="F72" s="133">
        <v>3.7280648911540815E-2</v>
      </c>
      <c r="G72" s="133">
        <v>3.7280648911540815E-2</v>
      </c>
      <c r="H72" s="133">
        <v>3.7280648911540815E-2</v>
      </c>
      <c r="I72" s="133">
        <v>3.7280648911540815E-2</v>
      </c>
      <c r="J72" s="133">
        <v>3.7280648911540815E-2</v>
      </c>
      <c r="K72" s="149">
        <v>3.7280648911540815E-2</v>
      </c>
    </row>
    <row r="73" spans="2:11">
      <c r="B73" s="196">
        <v>1965</v>
      </c>
      <c r="C73" s="133">
        <v>7.1885509359262342E-3</v>
      </c>
      <c r="D73" s="133">
        <v>7.1885509359262342E-3</v>
      </c>
      <c r="E73" s="133">
        <v>7.1885509359262342E-3</v>
      </c>
      <c r="F73" s="133">
        <v>7.1885509359262342E-3</v>
      </c>
      <c r="G73" s="133">
        <v>7.1885509359262342E-3</v>
      </c>
      <c r="H73" s="133">
        <v>7.1885509359262342E-3</v>
      </c>
      <c r="I73" s="133">
        <v>7.1885509359262342E-3</v>
      </c>
      <c r="J73" s="133">
        <v>7.1885509359262342E-3</v>
      </c>
      <c r="K73" s="149">
        <v>7.1885509359262342E-3</v>
      </c>
    </row>
    <row r="74" spans="2:11">
      <c r="B74" s="196">
        <v>1966</v>
      </c>
      <c r="C74" s="133">
        <v>2.9079409324299622E-2</v>
      </c>
      <c r="D74" s="133">
        <v>2.9079409324299622E-2</v>
      </c>
      <c r="E74" s="133">
        <v>2.9079409324299622E-2</v>
      </c>
      <c r="F74" s="133">
        <v>2.9079409324299622E-2</v>
      </c>
      <c r="G74" s="133">
        <v>2.9079409324299622E-2</v>
      </c>
      <c r="H74" s="133">
        <v>2.9079409324299622E-2</v>
      </c>
      <c r="I74" s="133">
        <v>2.9079409324299622E-2</v>
      </c>
      <c r="J74" s="133">
        <v>2.9079409324299622E-2</v>
      </c>
      <c r="K74" s="149">
        <v>2.9079409324299622E-2</v>
      </c>
    </row>
    <row r="75" spans="2:11">
      <c r="B75" s="196">
        <v>1967</v>
      </c>
      <c r="C75" s="133">
        <v>-1.5806209932824666E-2</v>
      </c>
      <c r="D75" s="133">
        <v>-1.5806209932824666E-2</v>
      </c>
      <c r="E75" s="133">
        <v>-1.5806209932824666E-2</v>
      </c>
      <c r="F75" s="133">
        <v>-1.5806209932824666E-2</v>
      </c>
      <c r="G75" s="133">
        <v>-1.5806209932824666E-2</v>
      </c>
      <c r="H75" s="133">
        <v>-1.5806209932824666E-2</v>
      </c>
      <c r="I75" s="133">
        <v>-1.5806209932824666E-2</v>
      </c>
      <c r="J75" s="133">
        <v>-1.5806209932824666E-2</v>
      </c>
      <c r="K75" s="149">
        <v>-1.5806209932824666E-2</v>
      </c>
    </row>
    <row r="76" spans="2:11">
      <c r="B76" s="196">
        <v>1968</v>
      </c>
      <c r="C76" s="133">
        <v>3.2746196950768365E-2</v>
      </c>
      <c r="D76" s="133">
        <v>3.2746196950768365E-2</v>
      </c>
      <c r="E76" s="133">
        <v>3.2746196950768365E-2</v>
      </c>
      <c r="F76" s="133">
        <v>3.2746196950768365E-2</v>
      </c>
      <c r="G76" s="133">
        <v>3.2746196950768365E-2</v>
      </c>
      <c r="H76" s="133">
        <v>3.2746196950768365E-2</v>
      </c>
      <c r="I76" s="133">
        <v>3.2746196950768365E-2</v>
      </c>
      <c r="J76" s="133">
        <v>3.2746196950768365E-2</v>
      </c>
      <c r="K76" s="149">
        <v>3.2746196950768365E-2</v>
      </c>
    </row>
    <row r="77" spans="2:11">
      <c r="B77" s="196">
        <v>1969</v>
      </c>
      <c r="C77" s="133">
        <v>-5.0140493209926106E-2</v>
      </c>
      <c r="D77" s="133">
        <v>-5.0140493209926106E-2</v>
      </c>
      <c r="E77" s="133">
        <v>-5.0140493209926106E-2</v>
      </c>
      <c r="F77" s="133">
        <v>-5.0140493209926106E-2</v>
      </c>
      <c r="G77" s="133">
        <v>-5.0140493209926106E-2</v>
      </c>
      <c r="H77" s="133">
        <v>-5.0140493209926106E-2</v>
      </c>
      <c r="I77" s="133">
        <v>-5.0140493209926106E-2</v>
      </c>
      <c r="J77" s="133">
        <v>-5.0140493209926106E-2</v>
      </c>
      <c r="K77" s="149">
        <v>-5.0140493209926106E-2</v>
      </c>
    </row>
    <row r="78" spans="2:11">
      <c r="B78" s="196">
        <v>1970</v>
      </c>
      <c r="C78" s="133">
        <v>0.16754737183412338</v>
      </c>
      <c r="D78" s="133">
        <v>0.16754737183412338</v>
      </c>
      <c r="E78" s="133">
        <v>0.16754737183412338</v>
      </c>
      <c r="F78" s="133">
        <v>0.16754737183412338</v>
      </c>
      <c r="G78" s="133">
        <v>0.16754737183412338</v>
      </c>
      <c r="H78" s="133">
        <v>0.16754737183412338</v>
      </c>
      <c r="I78" s="133">
        <v>0.16754737183412338</v>
      </c>
      <c r="J78" s="133">
        <v>0.16754737183412338</v>
      </c>
      <c r="K78" s="149">
        <v>0.16754737183412338</v>
      </c>
    </row>
    <row r="79" spans="2:11">
      <c r="B79" s="196">
        <v>1971</v>
      </c>
      <c r="C79" s="133">
        <v>9.7868966197122972E-2</v>
      </c>
      <c r="D79" s="133">
        <v>9.7868966197122972E-2</v>
      </c>
      <c r="E79" s="133">
        <v>9.7868966197122972E-2</v>
      </c>
      <c r="F79" s="133">
        <v>9.7868966197122972E-2</v>
      </c>
      <c r="G79" s="133">
        <v>9.7868966197122972E-2</v>
      </c>
      <c r="H79" s="133">
        <v>9.7868966197122972E-2</v>
      </c>
      <c r="I79" s="133">
        <v>9.7868966197122972E-2</v>
      </c>
      <c r="J79" s="133">
        <v>9.7868966197122972E-2</v>
      </c>
      <c r="K79" s="149">
        <v>9.7868966197122972E-2</v>
      </c>
    </row>
    <row r="80" spans="2:11">
      <c r="B80" s="196">
        <v>1972</v>
      </c>
      <c r="C80" s="133">
        <v>2.818449050444969E-2</v>
      </c>
      <c r="D80" s="133">
        <v>2.818449050444969E-2</v>
      </c>
      <c r="E80" s="133">
        <v>2.818449050444969E-2</v>
      </c>
      <c r="F80" s="133">
        <v>2.818449050444969E-2</v>
      </c>
      <c r="G80" s="133">
        <v>2.818449050444969E-2</v>
      </c>
      <c r="H80" s="133">
        <v>2.818449050444969E-2</v>
      </c>
      <c r="I80" s="133">
        <v>2.818449050444969E-2</v>
      </c>
      <c r="J80" s="133">
        <v>2.818449050444969E-2</v>
      </c>
      <c r="K80" s="149">
        <v>2.818449050444969E-2</v>
      </c>
    </row>
    <row r="81" spans="2:11">
      <c r="B81" s="196">
        <v>1973</v>
      </c>
      <c r="C81" s="133">
        <v>3.6586646024150085E-2</v>
      </c>
      <c r="D81" s="133">
        <v>3.6586646024150085E-2</v>
      </c>
      <c r="E81" s="133">
        <v>3.6586646024150085E-2</v>
      </c>
      <c r="F81" s="133">
        <v>3.6586646024150085E-2</v>
      </c>
      <c r="G81" s="133">
        <v>3.6586646024150085E-2</v>
      </c>
      <c r="H81" s="133">
        <v>3.6586646024150085E-2</v>
      </c>
      <c r="I81" s="133">
        <v>3.6586646024150085E-2</v>
      </c>
      <c r="J81" s="133">
        <v>3.6586646024150085E-2</v>
      </c>
      <c r="K81" s="149">
        <v>3.6586646024150085E-2</v>
      </c>
    </row>
    <row r="82" spans="2:11">
      <c r="B82" s="196">
        <v>1974</v>
      </c>
      <c r="C82" s="133">
        <v>1.9886086932378574E-2</v>
      </c>
      <c r="D82" s="133">
        <v>1.9886086932378574E-2</v>
      </c>
      <c r="E82" s="133">
        <v>1.9886086932378574E-2</v>
      </c>
      <c r="F82" s="133">
        <v>1.9886086932378574E-2</v>
      </c>
      <c r="G82" s="133">
        <v>1.9886086932378574E-2</v>
      </c>
      <c r="H82" s="133">
        <v>1.9886086932378574E-2</v>
      </c>
      <c r="I82" s="133">
        <v>1.9886086932378574E-2</v>
      </c>
      <c r="J82" s="133">
        <v>1.9886086932378574E-2</v>
      </c>
      <c r="K82" s="149">
        <v>1.9886086932378574E-2</v>
      </c>
    </row>
    <row r="83" spans="2:11">
      <c r="B83" s="196">
        <v>1975</v>
      </c>
      <c r="C83" s="133">
        <v>3.6052536026033838E-2</v>
      </c>
      <c r="D83" s="133">
        <v>3.6052536026033838E-2</v>
      </c>
      <c r="E83" s="133">
        <v>3.6052536026033838E-2</v>
      </c>
      <c r="F83" s="133">
        <v>3.6052536026033838E-2</v>
      </c>
      <c r="G83" s="133">
        <v>3.6052536026033838E-2</v>
      </c>
      <c r="H83" s="133">
        <v>3.6052536026033838E-2</v>
      </c>
      <c r="I83" s="133">
        <v>3.6052536026033838E-2</v>
      </c>
      <c r="J83" s="133">
        <v>3.6052536026033838E-2</v>
      </c>
      <c r="K83" s="149">
        <v>3.6052536026033838E-2</v>
      </c>
    </row>
    <row r="84" spans="2:11">
      <c r="B84" s="196">
        <v>1976</v>
      </c>
      <c r="C84" s="133">
        <v>0.1598456074290921</v>
      </c>
      <c r="D84" s="133">
        <v>0.1598456074290921</v>
      </c>
      <c r="E84" s="133">
        <v>0.1598456074290921</v>
      </c>
      <c r="F84" s="133">
        <v>0.1598456074290921</v>
      </c>
      <c r="G84" s="133">
        <v>0.1598456074290921</v>
      </c>
      <c r="H84" s="133">
        <v>0.1598456074290921</v>
      </c>
      <c r="I84" s="133">
        <v>0.1598456074290921</v>
      </c>
      <c r="J84" s="133">
        <v>0.1598456074290921</v>
      </c>
      <c r="K84" s="149">
        <v>0.1598456074290921</v>
      </c>
    </row>
    <row r="85" spans="2:11">
      <c r="B85" s="196">
        <v>1977</v>
      </c>
      <c r="C85" s="133">
        <v>1.2899606071070449E-2</v>
      </c>
      <c r="D85" s="133">
        <v>1.2899606071070449E-2</v>
      </c>
      <c r="E85" s="133">
        <v>1.2899606071070449E-2</v>
      </c>
      <c r="F85" s="133">
        <v>1.2899606071070449E-2</v>
      </c>
      <c r="G85" s="133">
        <v>1.2899606071070449E-2</v>
      </c>
      <c r="H85" s="133">
        <v>1.2899606071070449E-2</v>
      </c>
      <c r="I85" s="133">
        <v>1.2899606071070449E-2</v>
      </c>
      <c r="J85" s="133">
        <v>1.2899606071070449E-2</v>
      </c>
      <c r="K85" s="149">
        <v>1.2899606071070449E-2</v>
      </c>
    </row>
    <row r="86" spans="2:11">
      <c r="B86" s="196">
        <v>1978</v>
      </c>
      <c r="C86" s="133">
        <v>-7.7758069075086478E-3</v>
      </c>
      <c r="D86" s="133">
        <v>-7.7758069075086478E-3</v>
      </c>
      <c r="E86" s="133">
        <v>-7.7758069075086478E-3</v>
      </c>
      <c r="F86" s="133">
        <v>-7.7758069075086478E-3</v>
      </c>
      <c r="G86" s="133">
        <v>-7.7758069075086478E-3</v>
      </c>
      <c r="H86" s="133">
        <v>-7.7758069075086478E-3</v>
      </c>
      <c r="I86" s="133">
        <v>-7.7758069075086478E-3</v>
      </c>
      <c r="J86" s="133">
        <v>-7.7758069075086478E-3</v>
      </c>
      <c r="K86" s="149">
        <v>-7.7758069075086478E-3</v>
      </c>
    </row>
    <row r="87" spans="2:11">
      <c r="B87" s="196">
        <v>1979</v>
      </c>
      <c r="C87" s="133">
        <v>6.7072031247235459E-3</v>
      </c>
      <c r="D87" s="133">
        <v>6.7072031247235459E-3</v>
      </c>
      <c r="E87" s="133">
        <v>6.7072031247235459E-3</v>
      </c>
      <c r="F87" s="133">
        <v>6.7072031247235459E-3</v>
      </c>
      <c r="G87" s="133">
        <v>6.7072031247235459E-3</v>
      </c>
      <c r="H87" s="133">
        <v>6.7072031247235459E-3</v>
      </c>
      <c r="I87" s="133">
        <v>6.7072031247235459E-3</v>
      </c>
      <c r="J87" s="133">
        <v>6.7072031247235459E-3</v>
      </c>
      <c r="K87" s="149">
        <v>6.7072031247235459E-3</v>
      </c>
    </row>
    <row r="88" spans="2:11">
      <c r="B88" s="196">
        <v>1980</v>
      </c>
      <c r="C88" s="133">
        <v>-2.989744251999403E-2</v>
      </c>
      <c r="D88" s="133">
        <v>-2.989744251999403E-2</v>
      </c>
      <c r="E88" s="133">
        <v>-2.989744251999403E-2</v>
      </c>
      <c r="F88" s="133">
        <v>-2.989744251999403E-2</v>
      </c>
      <c r="G88" s="133">
        <v>-2.989744251999403E-2</v>
      </c>
      <c r="H88" s="133">
        <v>-2.989744251999403E-2</v>
      </c>
      <c r="I88" s="133">
        <v>-2.989744251999403E-2</v>
      </c>
      <c r="J88" s="133">
        <v>-2.989744251999403E-2</v>
      </c>
      <c r="K88" s="149">
        <v>-2.989744251999403E-2</v>
      </c>
    </row>
    <row r="89" spans="2:11">
      <c r="B89" s="196">
        <v>1981</v>
      </c>
      <c r="C89" s="133">
        <v>8.1992153358923542E-2</v>
      </c>
      <c r="D89" s="133">
        <v>8.1992153358923542E-2</v>
      </c>
      <c r="E89" s="133">
        <v>8.1992153358923542E-2</v>
      </c>
      <c r="F89" s="133">
        <v>8.1992153358923542E-2</v>
      </c>
      <c r="G89" s="133">
        <v>8.1992153358923542E-2</v>
      </c>
      <c r="H89" s="133">
        <v>8.1992153358923542E-2</v>
      </c>
      <c r="I89" s="133">
        <v>8.1992153358923542E-2</v>
      </c>
      <c r="J89" s="133">
        <v>8.1992153358923542E-2</v>
      </c>
      <c r="K89" s="149">
        <v>8.1992153358923542E-2</v>
      </c>
    </row>
    <row r="90" spans="2:11">
      <c r="B90" s="196">
        <v>1982</v>
      </c>
      <c r="C90" s="133">
        <v>0.32814549486295586</v>
      </c>
      <c r="D90" s="133">
        <v>0.32814549486295586</v>
      </c>
      <c r="E90" s="133">
        <v>0.32814549486295586</v>
      </c>
      <c r="F90" s="133">
        <v>0.32814549486295586</v>
      </c>
      <c r="G90" s="133">
        <v>0.32814549486295586</v>
      </c>
      <c r="H90" s="133">
        <v>0.32814549486295586</v>
      </c>
      <c r="I90" s="133">
        <v>0.32814549486295586</v>
      </c>
      <c r="J90" s="133">
        <v>0.32814549486295586</v>
      </c>
      <c r="K90" s="149">
        <v>0.32814549486295586</v>
      </c>
    </row>
    <row r="91" spans="2:11">
      <c r="B91" s="196">
        <v>1983</v>
      </c>
      <c r="C91" s="133">
        <v>3.2002094451429264E-2</v>
      </c>
      <c r="D91" s="133">
        <v>3.2002094451429264E-2</v>
      </c>
      <c r="E91" s="133">
        <v>3.2002094451429264E-2</v>
      </c>
      <c r="F91" s="133">
        <v>3.2002094451429264E-2</v>
      </c>
      <c r="G91" s="133">
        <v>3.2002094451429264E-2</v>
      </c>
      <c r="H91" s="133">
        <v>3.2002094451429264E-2</v>
      </c>
      <c r="I91" s="133">
        <v>3.2002094451429264E-2</v>
      </c>
      <c r="J91" s="133">
        <v>3.2002094451429264E-2</v>
      </c>
      <c r="K91" s="149">
        <v>3.2002094451429264E-2</v>
      </c>
    </row>
    <row r="92" spans="2:11">
      <c r="B92" s="196">
        <v>1984</v>
      </c>
      <c r="C92" s="133">
        <v>0.13733364344102345</v>
      </c>
      <c r="D92" s="133">
        <v>0.13733364344102345</v>
      </c>
      <c r="E92" s="133">
        <v>0.13733364344102345</v>
      </c>
      <c r="F92" s="133">
        <v>0.13733364344102345</v>
      </c>
      <c r="G92" s="133">
        <v>0.13733364344102345</v>
      </c>
      <c r="H92" s="133">
        <v>0.13733364344102345</v>
      </c>
      <c r="I92" s="133">
        <v>0.13733364344102345</v>
      </c>
      <c r="J92" s="133">
        <v>0.13733364344102345</v>
      </c>
      <c r="K92" s="149">
        <v>0.13733364344102345</v>
      </c>
    </row>
    <row r="93" spans="2:11">
      <c r="B93" s="196">
        <v>1985</v>
      </c>
      <c r="C93" s="133">
        <v>0.2571248821260641</v>
      </c>
      <c r="D93" s="133">
        <v>0.2571248821260641</v>
      </c>
      <c r="E93" s="133">
        <v>0.2571248821260641</v>
      </c>
      <c r="F93" s="133">
        <v>0.2571248821260641</v>
      </c>
      <c r="G93" s="133">
        <v>0.2571248821260641</v>
      </c>
      <c r="H93" s="133">
        <v>0.2571248821260641</v>
      </c>
      <c r="I93" s="133">
        <v>0.2571248821260641</v>
      </c>
      <c r="J93" s="133">
        <v>0.2571248821260641</v>
      </c>
      <c r="K93" s="149">
        <v>0.2571248821260641</v>
      </c>
    </row>
    <row r="94" spans="2:11">
      <c r="B94" s="196">
        <v>1986</v>
      </c>
      <c r="C94" s="133">
        <v>0.24284215141767618</v>
      </c>
      <c r="D94" s="133">
        <v>0.24284215141767618</v>
      </c>
      <c r="E94" s="133">
        <v>0.24284215141767618</v>
      </c>
      <c r="F94" s="133">
        <v>0.24284215141767618</v>
      </c>
      <c r="G94" s="133">
        <v>0.24284215141767618</v>
      </c>
      <c r="H94" s="133">
        <v>0.24284215141767618</v>
      </c>
      <c r="I94" s="133">
        <v>0.24284215141767618</v>
      </c>
      <c r="J94" s="133">
        <v>0.24284215141767618</v>
      </c>
      <c r="K94" s="149">
        <v>0.24284215141767618</v>
      </c>
    </row>
    <row r="95" spans="2:11">
      <c r="B95" s="196">
        <v>1987</v>
      </c>
      <c r="C95" s="133">
        <v>-4.9605089379262279E-2</v>
      </c>
      <c r="D95" s="133">
        <v>-4.9605089379262279E-2</v>
      </c>
      <c r="E95" s="133">
        <v>-4.9605089379262279E-2</v>
      </c>
      <c r="F95" s="133">
        <v>-4.9605089379262279E-2</v>
      </c>
      <c r="G95" s="133">
        <v>-4.9605089379262279E-2</v>
      </c>
      <c r="H95" s="133">
        <v>-4.9605089379262279E-2</v>
      </c>
      <c r="I95" s="133">
        <v>-4.9605089379262279E-2</v>
      </c>
      <c r="J95" s="133">
        <v>-4.9605089379262279E-2</v>
      </c>
      <c r="K95" s="149">
        <v>-4.9605089379262279E-2</v>
      </c>
    </row>
    <row r="96" spans="2:11">
      <c r="B96" s="196">
        <v>1988</v>
      </c>
      <c r="C96" s="133">
        <v>8.2235958434841674E-2</v>
      </c>
      <c r="D96" s="133">
        <v>8.2235958434841674E-2</v>
      </c>
      <c r="E96" s="133">
        <v>8.2235958434841674E-2</v>
      </c>
      <c r="F96" s="133">
        <v>8.2235958434841674E-2</v>
      </c>
      <c r="G96" s="133">
        <v>8.2235958434841674E-2</v>
      </c>
      <c r="H96" s="133">
        <v>8.2235958434841674E-2</v>
      </c>
      <c r="I96" s="133">
        <v>8.2235958434841674E-2</v>
      </c>
      <c r="J96" s="133">
        <v>8.2235958434841674E-2</v>
      </c>
      <c r="K96" s="149">
        <v>8.2235958434841674E-2</v>
      </c>
    </row>
    <row r="97" spans="2:11">
      <c r="B97" s="196">
        <v>1989</v>
      </c>
      <c r="C97" s="133">
        <v>0.17693647159446219</v>
      </c>
      <c r="D97" s="133">
        <v>0.17693647159446219</v>
      </c>
      <c r="E97" s="133">
        <v>0.17693647159446219</v>
      </c>
      <c r="F97" s="133">
        <v>0.17693647159446219</v>
      </c>
      <c r="G97" s="133">
        <v>0.17693647159446219</v>
      </c>
      <c r="H97" s="133">
        <v>0.17693647159446219</v>
      </c>
      <c r="I97" s="133">
        <v>0.17693647159446219</v>
      </c>
      <c r="J97" s="133">
        <v>0.17693647159446219</v>
      </c>
      <c r="K97" s="149">
        <v>0.17693647159446219</v>
      </c>
    </row>
    <row r="98" spans="2:11">
      <c r="B98" s="196">
        <v>1990</v>
      </c>
      <c r="C98" s="133">
        <v>6.2353753335533363E-2</v>
      </c>
      <c r="D98" s="133">
        <v>6.2353753335533363E-2</v>
      </c>
      <c r="E98" s="133">
        <v>6.2353753335533363E-2</v>
      </c>
      <c r="F98" s="133">
        <v>6.2353753335533363E-2</v>
      </c>
      <c r="G98" s="133">
        <v>6.2353753335533363E-2</v>
      </c>
      <c r="H98" s="133">
        <v>6.2353753335533363E-2</v>
      </c>
      <c r="I98" s="133">
        <v>6.2353753335533363E-2</v>
      </c>
      <c r="J98" s="133">
        <v>6.2353753335533363E-2</v>
      </c>
      <c r="K98" s="149">
        <v>6.2353753335533363E-2</v>
      </c>
    </row>
    <row r="99" spans="2:11">
      <c r="B99" s="196">
        <v>1991</v>
      </c>
      <c r="C99" s="133">
        <v>0.15004510019517303</v>
      </c>
      <c r="D99" s="133">
        <v>0.15004510019517303</v>
      </c>
      <c r="E99" s="133">
        <v>0.15004510019517303</v>
      </c>
      <c r="F99" s="133">
        <v>0.15004510019517303</v>
      </c>
      <c r="G99" s="133">
        <v>0.15004510019517303</v>
      </c>
      <c r="H99" s="133">
        <v>0.15004510019517303</v>
      </c>
      <c r="I99" s="133">
        <v>0.15004510019517303</v>
      </c>
      <c r="J99" s="133">
        <v>0.15004510019517303</v>
      </c>
      <c r="K99" s="149">
        <v>0.15004510019517303</v>
      </c>
    </row>
    <row r="100" spans="2:11">
      <c r="B100" s="196">
        <v>1992</v>
      </c>
      <c r="C100" s="133">
        <v>9.3616373162079422E-2</v>
      </c>
      <c r="D100" s="133">
        <v>9.3616373162079422E-2</v>
      </c>
      <c r="E100" s="133">
        <v>9.3616373162079422E-2</v>
      </c>
      <c r="F100" s="133">
        <v>9.3616373162079422E-2</v>
      </c>
      <c r="G100" s="133">
        <v>9.3616373162079422E-2</v>
      </c>
      <c r="H100" s="133">
        <v>9.3616373162079422E-2</v>
      </c>
      <c r="I100" s="133">
        <v>9.3616373162079422E-2</v>
      </c>
      <c r="J100" s="133">
        <v>9.3616373162079422E-2</v>
      </c>
      <c r="K100" s="149">
        <v>9.3616373162079422E-2</v>
      </c>
    </row>
    <row r="101" spans="2:11">
      <c r="B101" s="196">
        <v>1993</v>
      </c>
      <c r="C101" s="133">
        <v>0.14210957589263107</v>
      </c>
      <c r="D101" s="133">
        <v>0.14210957589263107</v>
      </c>
      <c r="E101" s="133">
        <v>0.14210957589263107</v>
      </c>
      <c r="F101" s="133">
        <v>0.14210957589263107</v>
      </c>
      <c r="G101" s="133">
        <v>0.14210957589263107</v>
      </c>
      <c r="H101" s="133">
        <v>0.14210957589263107</v>
      </c>
      <c r="I101" s="133">
        <v>0.14210957589263107</v>
      </c>
      <c r="J101" s="133">
        <v>0.14210957589263107</v>
      </c>
      <c r="K101" s="149">
        <v>0.14210957589263107</v>
      </c>
    </row>
    <row r="102" spans="2:11">
      <c r="B102" s="196">
        <v>1994</v>
      </c>
      <c r="C102" s="133">
        <v>-8.0366555509985921E-2</v>
      </c>
      <c r="D102" s="133">
        <v>-8.0366555509985921E-2</v>
      </c>
      <c r="E102" s="133">
        <v>-8.0366555509985921E-2</v>
      </c>
      <c r="F102" s="133">
        <v>-8.0366555509985921E-2</v>
      </c>
      <c r="G102" s="133">
        <v>-8.0366555509985921E-2</v>
      </c>
      <c r="H102" s="133">
        <v>-8.0366555509985921E-2</v>
      </c>
      <c r="I102" s="133">
        <v>-8.0366555509985921E-2</v>
      </c>
      <c r="J102" s="133">
        <v>-8.0366555509985921E-2</v>
      </c>
      <c r="K102" s="149">
        <v>-8.0366555509985921E-2</v>
      </c>
    </row>
    <row r="103" spans="2:11">
      <c r="B103" s="196">
        <v>1995</v>
      </c>
      <c r="C103" s="133">
        <v>0.23480780112538907</v>
      </c>
      <c r="D103" s="133">
        <v>0.23480780112538907</v>
      </c>
      <c r="E103" s="133">
        <v>0.23480780112538907</v>
      </c>
      <c r="F103" s="133">
        <v>0.23480780112538907</v>
      </c>
      <c r="G103" s="133">
        <v>0.23480780112538907</v>
      </c>
      <c r="H103" s="133">
        <v>0.23480780112538907</v>
      </c>
      <c r="I103" s="133">
        <v>0.23480780112538907</v>
      </c>
      <c r="J103" s="133">
        <v>0.23480780112538907</v>
      </c>
      <c r="K103" s="149">
        <v>0.23480780112538907</v>
      </c>
    </row>
    <row r="104" spans="2:11">
      <c r="B104" s="196">
        <v>1996</v>
      </c>
      <c r="C104" s="133">
        <v>1.428607793401844E-2</v>
      </c>
      <c r="D104" s="133">
        <v>1.428607793401844E-2</v>
      </c>
      <c r="E104" s="133">
        <v>1.428607793401844E-2</v>
      </c>
      <c r="F104" s="133">
        <v>1.428607793401844E-2</v>
      </c>
      <c r="G104" s="133">
        <v>1.428607793401844E-2</v>
      </c>
      <c r="H104" s="133">
        <v>1.428607793401844E-2</v>
      </c>
      <c r="I104" s="133">
        <v>1.428607793401844E-2</v>
      </c>
      <c r="J104" s="133">
        <v>1.428607793401844E-2</v>
      </c>
      <c r="K104" s="149">
        <v>1.428607793401844E-2</v>
      </c>
    </row>
    <row r="105" spans="2:11">
      <c r="B105" s="196">
        <v>1997</v>
      </c>
      <c r="C105" s="133">
        <v>9.939130272977531E-2</v>
      </c>
      <c r="D105" s="133">
        <v>9.939130272977531E-2</v>
      </c>
      <c r="E105" s="133">
        <v>9.939130272977531E-2</v>
      </c>
      <c r="F105" s="133">
        <v>9.939130272977531E-2</v>
      </c>
      <c r="G105" s="133">
        <v>9.939130272977531E-2</v>
      </c>
      <c r="H105" s="133">
        <v>9.939130272977531E-2</v>
      </c>
      <c r="I105" s="133">
        <v>9.939130272977531E-2</v>
      </c>
      <c r="J105" s="133">
        <v>9.939130272977531E-2</v>
      </c>
      <c r="K105" s="149">
        <v>9.939130272977531E-2</v>
      </c>
    </row>
    <row r="106" spans="2:11">
      <c r="B106" s="196">
        <v>1998</v>
      </c>
      <c r="C106" s="133">
        <v>0.14921431922606215</v>
      </c>
      <c r="D106" s="133">
        <v>0.14921431922606215</v>
      </c>
      <c r="E106" s="133">
        <v>0.14921431922606215</v>
      </c>
      <c r="F106" s="133">
        <v>0.14921431922606215</v>
      </c>
      <c r="G106" s="133">
        <v>0.14921431922606215</v>
      </c>
      <c r="H106" s="133">
        <v>0.14921431922606215</v>
      </c>
      <c r="I106" s="133">
        <v>0.14921431922606215</v>
      </c>
      <c r="J106" s="133">
        <v>0.14921431922606215</v>
      </c>
      <c r="K106" s="149">
        <v>0.14921431922606215</v>
      </c>
    </row>
    <row r="107" spans="2:11">
      <c r="B107" s="196">
        <v>1999</v>
      </c>
      <c r="C107" s="133">
        <v>-8.2542147962685761E-2</v>
      </c>
      <c r="D107" s="133">
        <v>-8.2542147962685761E-2</v>
      </c>
      <c r="E107" s="133">
        <v>-8.2542147962685761E-2</v>
      </c>
      <c r="F107" s="133">
        <v>-8.2542147962685761E-2</v>
      </c>
      <c r="G107" s="133">
        <v>-8.2542147962685761E-2</v>
      </c>
      <c r="H107" s="133">
        <v>-8.2542147962685761E-2</v>
      </c>
      <c r="I107" s="133">
        <v>-8.2542147962685761E-2</v>
      </c>
      <c r="J107" s="133">
        <v>-8.2542147962685761E-2</v>
      </c>
      <c r="K107" s="149">
        <v>-8.2542147962685761E-2</v>
      </c>
    </row>
    <row r="108" spans="2:11">
      <c r="B108" s="196">
        <v>2000</v>
      </c>
      <c r="C108" s="133">
        <v>0.16655267125397488</v>
      </c>
      <c r="D108" s="133">
        <v>0.16655267125397488</v>
      </c>
      <c r="E108" s="133">
        <v>0.16655267125397488</v>
      </c>
      <c r="F108" s="133">
        <v>0.16655267125397488</v>
      </c>
      <c r="G108" s="133">
        <v>0.16655267125397488</v>
      </c>
      <c r="H108" s="133">
        <v>0.16655267125397488</v>
      </c>
      <c r="I108" s="133">
        <v>0.16655267125397488</v>
      </c>
      <c r="J108" s="133">
        <v>0.16655267125397488</v>
      </c>
      <c r="K108" s="149">
        <v>0.16655267125397488</v>
      </c>
    </row>
    <row r="109" spans="2:11">
      <c r="B109" s="196">
        <v>2001</v>
      </c>
      <c r="C109" s="133">
        <v>5.5721811892492555E-2</v>
      </c>
      <c r="D109" s="133">
        <v>5.5721811892492555E-2</v>
      </c>
      <c r="E109" s="133">
        <v>5.5721811892492555E-2</v>
      </c>
      <c r="F109" s="133">
        <v>5.5721811892492555E-2</v>
      </c>
      <c r="G109" s="133">
        <v>5.5721811892492555E-2</v>
      </c>
      <c r="H109" s="133">
        <v>5.5721811892492555E-2</v>
      </c>
      <c r="I109" s="133">
        <v>5.5721811892492555E-2</v>
      </c>
      <c r="J109" s="133">
        <v>5.5721811892492555E-2</v>
      </c>
      <c r="K109" s="149">
        <v>5.5721811892492555E-2</v>
      </c>
    </row>
    <row r="110" spans="2:11">
      <c r="B110" s="196">
        <v>2002</v>
      </c>
      <c r="C110" s="133">
        <v>0.15116400378109285</v>
      </c>
      <c r="D110" s="133">
        <v>0.15116400378109285</v>
      </c>
      <c r="E110" s="133">
        <v>0.15116400378109285</v>
      </c>
      <c r="F110" s="133">
        <v>0.15116400378109285</v>
      </c>
      <c r="G110" s="133">
        <v>0.15116400378109285</v>
      </c>
      <c r="H110" s="133">
        <v>0.15116400378109285</v>
      </c>
      <c r="I110" s="133">
        <v>0.15116400378109285</v>
      </c>
      <c r="J110" s="133">
        <v>0.15116400378109285</v>
      </c>
      <c r="K110" s="149">
        <v>0.15116400378109285</v>
      </c>
    </row>
    <row r="111" spans="2:11">
      <c r="B111" s="196">
        <v>2003</v>
      </c>
      <c r="C111" s="133">
        <v>3.7531858817758529E-3</v>
      </c>
      <c r="D111" s="133">
        <v>3.7531858817758529E-3</v>
      </c>
      <c r="E111" s="133">
        <v>3.7531858817758529E-3</v>
      </c>
      <c r="F111" s="133">
        <v>3.7531858817758529E-3</v>
      </c>
      <c r="G111" s="133">
        <v>3.7531858817758529E-3</v>
      </c>
      <c r="H111" s="133">
        <v>3.7531858817758529E-3</v>
      </c>
      <c r="I111" s="133">
        <v>3.7531858817758529E-3</v>
      </c>
      <c r="J111" s="133">
        <v>3.7531858817758529E-3</v>
      </c>
      <c r="K111" s="149">
        <v>3.7531858817758529E-3</v>
      </c>
    </row>
    <row r="112" spans="2:11">
      <c r="B112" s="196">
        <v>2004</v>
      </c>
      <c r="C112" s="133">
        <v>4.490683702274547E-2</v>
      </c>
      <c r="D112" s="133">
        <v>4.490683702274547E-2</v>
      </c>
      <c r="E112" s="133">
        <v>4.490683702274547E-2</v>
      </c>
      <c r="F112" s="133">
        <v>4.490683702274547E-2</v>
      </c>
      <c r="G112" s="133">
        <v>4.490683702274547E-2</v>
      </c>
      <c r="H112" s="133">
        <v>4.490683702274547E-2</v>
      </c>
      <c r="I112" s="133">
        <v>4.490683702274547E-2</v>
      </c>
      <c r="J112" s="133">
        <v>4.490683702274547E-2</v>
      </c>
      <c r="K112" s="149">
        <v>4.490683702274547E-2</v>
      </c>
    </row>
    <row r="113" spans="2:11">
      <c r="B113" s="196">
        <v>2005</v>
      </c>
      <c r="C113" s="133">
        <v>2.8675329597779506E-2</v>
      </c>
      <c r="D113" s="133">
        <v>2.8675329597779506E-2</v>
      </c>
      <c r="E113" s="133">
        <v>2.8675329597779506E-2</v>
      </c>
      <c r="F113" s="133">
        <v>2.8675329597779506E-2</v>
      </c>
      <c r="G113" s="133">
        <v>2.8675329597779506E-2</v>
      </c>
      <c r="H113" s="133">
        <v>2.8675329597779506E-2</v>
      </c>
      <c r="I113" s="133">
        <v>2.8675329597779506E-2</v>
      </c>
      <c r="J113" s="133">
        <v>2.8675329597779506E-2</v>
      </c>
      <c r="K113" s="149">
        <v>2.8675329597779506E-2</v>
      </c>
    </row>
    <row r="114" spans="2:11">
      <c r="B114" s="196">
        <v>2006</v>
      </c>
      <c r="C114" s="133">
        <v>1.9610012417568386E-2</v>
      </c>
      <c r="D114" s="133">
        <v>1.9610012417568386E-2</v>
      </c>
      <c r="E114" s="133">
        <v>1.9610012417568386E-2</v>
      </c>
      <c r="F114" s="133">
        <v>1.9610012417568386E-2</v>
      </c>
      <c r="G114" s="133">
        <v>1.9610012417568386E-2</v>
      </c>
      <c r="H114" s="133">
        <v>1.9610012417568386E-2</v>
      </c>
      <c r="I114" s="133">
        <v>1.9610012417568386E-2</v>
      </c>
      <c r="J114" s="133">
        <v>1.9610012417568386E-2</v>
      </c>
      <c r="K114" s="149">
        <v>1.9610012417568386E-2</v>
      </c>
    </row>
    <row r="115" spans="2:11">
      <c r="B115" s="196">
        <v>2007</v>
      </c>
      <c r="C115" s="133">
        <v>0.10209921930012807</v>
      </c>
      <c r="D115" s="133">
        <v>0.10209921930012807</v>
      </c>
      <c r="E115" s="133">
        <v>0.10209921930012807</v>
      </c>
      <c r="F115" s="133">
        <v>0.10209921930012807</v>
      </c>
      <c r="G115" s="133">
        <v>0.10209921930012807</v>
      </c>
      <c r="H115" s="133">
        <v>0.10209921930012807</v>
      </c>
      <c r="I115" s="133">
        <v>0.10209921930012807</v>
      </c>
      <c r="J115" s="133">
        <v>0.10209921930012807</v>
      </c>
      <c r="K115" s="149">
        <v>0.10209921930012807</v>
      </c>
    </row>
    <row r="116" spans="2:11">
      <c r="B116" s="196">
        <v>2008</v>
      </c>
      <c r="C116" s="133">
        <v>0.20101279926977011</v>
      </c>
      <c r="D116" s="133">
        <v>0.20101279926977011</v>
      </c>
      <c r="E116" s="133">
        <v>0.20101279926977011</v>
      </c>
      <c r="F116" s="133">
        <v>0.20101279926977011</v>
      </c>
      <c r="G116" s="133">
        <v>0.20101279926977011</v>
      </c>
      <c r="H116" s="133">
        <v>0.20101279926977011</v>
      </c>
      <c r="I116" s="133">
        <v>0.20101279926977011</v>
      </c>
      <c r="J116" s="133">
        <v>0.20101279926977011</v>
      </c>
      <c r="K116" s="149">
        <v>0.20101279926977011</v>
      </c>
    </row>
    <row r="117" spans="2:11">
      <c r="B117" s="196">
        <v>2009</v>
      </c>
      <c r="C117" s="133">
        <v>-0.11116695313259162</v>
      </c>
      <c r="D117" s="133">
        <v>-0.11116695313259162</v>
      </c>
      <c r="E117" s="133">
        <v>-0.11116695313259162</v>
      </c>
      <c r="F117" s="133">
        <v>-0.11116695313259162</v>
      </c>
      <c r="G117" s="133">
        <v>-0.11116695313259162</v>
      </c>
      <c r="H117" s="133">
        <v>-0.11116695313259162</v>
      </c>
      <c r="I117" s="133">
        <v>-0.11116695313259162</v>
      </c>
      <c r="J117" s="133">
        <v>-0.11116695313259162</v>
      </c>
      <c r="K117" s="149">
        <v>-0.11116695313259162</v>
      </c>
    </row>
    <row r="118" spans="2:11">
      <c r="B118" s="196">
        <v>2010</v>
      </c>
      <c r="C118" s="133">
        <v>8.4629338803557719E-2</v>
      </c>
      <c r="D118" s="133">
        <v>8.4629338803557719E-2</v>
      </c>
      <c r="E118" s="133">
        <v>8.4629338803557719E-2</v>
      </c>
      <c r="F118" s="133">
        <v>8.4629338803557719E-2</v>
      </c>
      <c r="G118" s="133">
        <v>8.4629338803557719E-2</v>
      </c>
      <c r="H118" s="133">
        <v>8.4629338803557719E-2</v>
      </c>
      <c r="I118" s="133">
        <v>8.4629338803557719E-2</v>
      </c>
      <c r="J118" s="133">
        <v>8.4629338803557719E-2</v>
      </c>
      <c r="K118" s="149">
        <v>8.4629338803557719E-2</v>
      </c>
    </row>
    <row r="119" spans="2:11">
      <c r="B119" s="196">
        <v>2011</v>
      </c>
      <c r="C119" s="133">
        <v>0.16035334999461354</v>
      </c>
      <c r="D119" s="133">
        <v>0.16035334999461354</v>
      </c>
      <c r="E119" s="133">
        <v>0.16035334999461354</v>
      </c>
      <c r="F119" s="133">
        <v>0.16035334999461354</v>
      </c>
      <c r="G119" s="133">
        <v>0.16035334999461354</v>
      </c>
      <c r="H119" s="133">
        <v>0.16035334999461354</v>
      </c>
      <c r="I119" s="133">
        <v>0.16035334999461354</v>
      </c>
      <c r="J119" s="133">
        <v>0.16035334999461354</v>
      </c>
      <c r="K119" s="149">
        <v>0.16035334999461354</v>
      </c>
    </row>
    <row r="120" spans="2:11">
      <c r="B120" s="196">
        <v>2012</v>
      </c>
      <c r="C120" s="133">
        <v>2.971571978018946E-2</v>
      </c>
      <c r="D120" s="133">
        <v>2.971571978018946E-2</v>
      </c>
      <c r="E120" s="133">
        <v>2.971571978018946E-2</v>
      </c>
      <c r="F120" s="133">
        <v>2.971571978018946E-2</v>
      </c>
      <c r="G120" s="133">
        <v>2.971571978018946E-2</v>
      </c>
      <c r="H120" s="133">
        <v>2.971571978018946E-2</v>
      </c>
      <c r="I120" s="133">
        <v>2.971571978018946E-2</v>
      </c>
      <c r="J120" s="133">
        <v>2.971571978018946E-2</v>
      </c>
      <c r="K120" s="149">
        <v>2.971571978018946E-2</v>
      </c>
    </row>
    <row r="121" spans="2:11">
      <c r="B121" s="196">
        <v>2013</v>
      </c>
      <c r="C121" s="133">
        <v>-9.104568794347262E-2</v>
      </c>
      <c r="D121" s="133">
        <v>-9.104568794347262E-2</v>
      </c>
      <c r="E121" s="133">
        <v>-9.104568794347262E-2</v>
      </c>
      <c r="F121" s="133">
        <v>-9.104568794347262E-2</v>
      </c>
      <c r="G121" s="133">
        <v>-9.104568794347262E-2</v>
      </c>
      <c r="H121" s="133">
        <v>-9.104568794347262E-2</v>
      </c>
      <c r="I121" s="133">
        <v>-9.104568794347262E-2</v>
      </c>
      <c r="J121" s="133">
        <v>-9.104568794347262E-2</v>
      </c>
      <c r="K121" s="149">
        <v>-9.104568794347262E-2</v>
      </c>
    </row>
    <row r="122" spans="2:11">
      <c r="B122" s="196">
        <v>2014</v>
      </c>
      <c r="C122" s="133">
        <v>0.10746180452004755</v>
      </c>
      <c r="D122" s="133">
        <v>0.10746180452004755</v>
      </c>
      <c r="E122" s="133">
        <v>0.10746180452004755</v>
      </c>
      <c r="F122" s="133">
        <v>0.10746180452004755</v>
      </c>
      <c r="G122" s="133">
        <v>0.10746180452004755</v>
      </c>
      <c r="H122" s="133">
        <v>0.10746180452004755</v>
      </c>
      <c r="I122" s="133">
        <v>0.10746180452004755</v>
      </c>
      <c r="J122" s="133">
        <v>0.10746180452004755</v>
      </c>
      <c r="K122" s="149">
        <v>0.10746180452004755</v>
      </c>
    </row>
    <row r="123" spans="2:11">
      <c r="B123" s="196">
        <v>2015</v>
      </c>
      <c r="C123" s="108">
        <v>1.2842996709792224E-2</v>
      </c>
      <c r="D123" s="108">
        <v>1.2842996709792224E-2</v>
      </c>
      <c r="E123" s="108">
        <v>1.2842996709792224E-2</v>
      </c>
      <c r="F123" s="108">
        <v>1.2842996709792224E-2</v>
      </c>
      <c r="G123" s="108">
        <v>1.2842996709792224E-2</v>
      </c>
      <c r="H123" s="108">
        <v>1.2842996709792224E-2</v>
      </c>
      <c r="I123" s="108">
        <v>1.2842996709792224E-2</v>
      </c>
      <c r="J123" s="108">
        <v>1.2842996709792224E-2</v>
      </c>
      <c r="K123" s="207">
        <v>1.2842996709792224E-2</v>
      </c>
    </row>
    <row r="124" spans="2:11">
      <c r="B124" s="196">
        <v>2016</v>
      </c>
      <c r="C124" s="206"/>
      <c r="D124" s="108">
        <v>6.9055046987477921E-3</v>
      </c>
      <c r="E124" s="108">
        <v>6.9055046987477921E-3</v>
      </c>
      <c r="F124" s="108">
        <v>6.9055046987477921E-3</v>
      </c>
      <c r="G124" s="108">
        <v>6.9055046987477921E-3</v>
      </c>
      <c r="H124" s="108">
        <v>6.9055046987477921E-3</v>
      </c>
      <c r="I124" s="108">
        <v>6.9055046987477921E-3</v>
      </c>
      <c r="J124" s="108">
        <v>6.9055046987477921E-3</v>
      </c>
      <c r="K124" s="207">
        <v>6.9055046987477921E-3</v>
      </c>
    </row>
    <row r="125" spans="2:11">
      <c r="B125" s="196">
        <v>2017</v>
      </c>
      <c r="C125" s="206"/>
      <c r="D125" s="206"/>
      <c r="E125" s="108">
        <v>2.8017162707789457E-2</v>
      </c>
      <c r="F125" s="108">
        <v>2.8017162707789457E-2</v>
      </c>
      <c r="G125" s="108">
        <v>2.8017162707789457E-2</v>
      </c>
      <c r="H125" s="108">
        <v>2.8017162707789457E-2</v>
      </c>
      <c r="I125" s="108">
        <v>2.8017162707789457E-2</v>
      </c>
      <c r="J125" s="108">
        <v>2.8017162707789457E-2</v>
      </c>
      <c r="K125" s="207">
        <v>2.8017162707789457E-2</v>
      </c>
    </row>
    <row r="126" spans="2:11">
      <c r="B126" s="196">
        <v>2018</v>
      </c>
      <c r="C126" s="206"/>
      <c r="D126" s="206"/>
      <c r="E126" s="206"/>
      <c r="F126" s="108">
        <v>-1.6692385713402633E-4</v>
      </c>
      <c r="G126" s="108">
        <v>-1.6692385713402633E-4</v>
      </c>
      <c r="H126" s="108">
        <v>-1.6692385713402633E-4</v>
      </c>
      <c r="I126" s="108">
        <v>-1.6692385713402633E-4</v>
      </c>
      <c r="J126" s="108">
        <v>-1.6692385713402633E-4</v>
      </c>
      <c r="K126" s="207">
        <v>-1.6692385713402633E-4</v>
      </c>
    </row>
    <row r="127" spans="2:11">
      <c r="B127" s="196">
        <v>2019</v>
      </c>
      <c r="C127" s="206"/>
      <c r="D127" s="206"/>
      <c r="E127" s="206"/>
      <c r="F127" s="206"/>
      <c r="G127" s="108">
        <v>9.6356307415483927E-2</v>
      </c>
      <c r="H127" s="108">
        <v>9.6356307415483927E-2</v>
      </c>
      <c r="I127" s="108">
        <v>9.6356307415483927E-2</v>
      </c>
      <c r="J127" s="108">
        <v>9.6356307415483927E-2</v>
      </c>
      <c r="K127" s="207">
        <v>9.6356307415483927E-2</v>
      </c>
    </row>
    <row r="128" spans="2:11">
      <c r="B128" s="196">
        <v>2020</v>
      </c>
      <c r="C128" s="206"/>
      <c r="D128" s="206"/>
      <c r="E128" s="206"/>
      <c r="F128" s="206"/>
      <c r="G128" s="206"/>
      <c r="H128" s="108">
        <v>0.1133189764661412</v>
      </c>
      <c r="I128" s="108">
        <v>0.1133189764661412</v>
      </c>
      <c r="J128" s="108">
        <v>0.1133189764661412</v>
      </c>
      <c r="K128" s="207">
        <v>0.1133189764661412</v>
      </c>
    </row>
    <row r="129" spans="2:11">
      <c r="B129" s="196">
        <v>2021</v>
      </c>
      <c r="C129" s="206"/>
      <c r="D129" s="206"/>
      <c r="E129" s="206"/>
      <c r="F129" s="206"/>
      <c r="G129" s="206"/>
      <c r="H129" s="206"/>
      <c r="I129" s="108">
        <v>-4.416034448604475E-2</v>
      </c>
      <c r="J129" s="108">
        <v>-4.416034448604475E-2</v>
      </c>
      <c r="K129" s="207">
        <v>-4.416034448604475E-2</v>
      </c>
    </row>
    <row r="130" spans="2:11">
      <c r="B130" s="196">
        <v>2022</v>
      </c>
      <c r="C130" s="206"/>
      <c r="D130" s="206"/>
      <c r="E130" s="206"/>
      <c r="F130" s="206"/>
      <c r="G130" s="206"/>
      <c r="H130" s="206"/>
      <c r="I130" s="206"/>
      <c r="J130" s="108">
        <v>-0.1782817153825067</v>
      </c>
      <c r="K130" s="207">
        <v>-0.1782817153825067</v>
      </c>
    </row>
    <row r="131" spans="2:11">
      <c r="B131" s="196">
        <v>2023</v>
      </c>
      <c r="C131" s="206"/>
      <c r="D131" s="206"/>
      <c r="E131" s="206"/>
      <c r="F131" s="206"/>
      <c r="G131" s="206"/>
      <c r="H131" s="206"/>
      <c r="I131" s="206"/>
      <c r="J131" s="206"/>
      <c r="K131" s="207">
        <v>3.8800000000000001E-2</v>
      </c>
    </row>
    <row r="132" spans="2:11" ht="15" thickBot="1">
      <c r="B132" s="198" t="s">
        <v>127</v>
      </c>
      <c r="C132" s="199">
        <f>+AVERAGE(C36:C126)</f>
        <v>5.2312982394253658E-2</v>
      </c>
      <c r="D132" s="199">
        <f>+AVERAGE(D36:D126)</f>
        <v>5.1802786015652462E-2</v>
      </c>
      <c r="E132" s="199">
        <f>+AVERAGE(E36:E126)</f>
        <v>5.1538501312231769E-2</v>
      </c>
      <c r="F132" s="199">
        <f>+AVERAGE(F36:F126)</f>
        <v>5.0970309826854118E-2</v>
      </c>
      <c r="G132" s="199">
        <f>AVERAGE(G36:G127)</f>
        <v>5.1463635887600098E-2</v>
      </c>
      <c r="H132" s="199">
        <f>AVERAGE(H36:H128)</f>
        <v>5.2128747076616674E-2</v>
      </c>
      <c r="I132" s="199">
        <f>AVERAGE(I36:I129)</f>
        <v>5.110439503871602E-2</v>
      </c>
      <c r="J132" s="199">
        <f>AVERAGE(J36:J130)</f>
        <v>4.8689804402703145E-2</v>
      </c>
      <c r="K132" s="200">
        <f>AVERAGE(K36:K131)</f>
        <v>4.8586785606841654E-2</v>
      </c>
    </row>
    <row r="133" spans="2:11">
      <c r="B133" s="3" t="s">
        <v>128</v>
      </c>
    </row>
    <row r="134" spans="2:11"/>
    <row r="135" spans="2:11"/>
    <row r="136" spans="2:11">
      <c r="B136" s="50" t="s">
        <v>129</v>
      </c>
    </row>
    <row r="137" spans="2:11" ht="15" thickBot="1"/>
    <row r="138" spans="2:11">
      <c r="B138" s="173" t="s">
        <v>130</v>
      </c>
      <c r="C138" s="125"/>
      <c r="D138" s="125"/>
      <c r="E138" s="125"/>
      <c r="F138" s="125"/>
      <c r="G138" s="125"/>
      <c r="H138" s="125"/>
      <c r="I138" s="125"/>
      <c r="J138" s="125"/>
      <c r="K138" s="126"/>
    </row>
    <row r="139" spans="2:11">
      <c r="B139" s="145" t="s">
        <v>126</v>
      </c>
      <c r="C139" s="102">
        <v>2015</v>
      </c>
      <c r="D139" s="102">
        <v>2016</v>
      </c>
      <c r="E139" s="102">
        <v>2017</v>
      </c>
      <c r="F139" s="102">
        <v>2018</v>
      </c>
      <c r="G139" s="102">
        <v>2019</v>
      </c>
      <c r="H139" s="102">
        <v>2020</v>
      </c>
      <c r="I139" s="102">
        <v>2021</v>
      </c>
      <c r="J139" s="102">
        <v>2022</v>
      </c>
      <c r="K139" s="195">
        <v>2023</v>
      </c>
    </row>
    <row r="140" spans="2:11">
      <c r="B140" s="196">
        <v>1928</v>
      </c>
      <c r="C140" s="133">
        <v>0.43811155152887893</v>
      </c>
      <c r="D140" s="133">
        <v>0.43811155152887893</v>
      </c>
      <c r="E140" s="133">
        <v>0.43811155152887893</v>
      </c>
      <c r="F140" s="133">
        <v>0.43811155152887893</v>
      </c>
      <c r="G140" s="133">
        <v>0.43811155152887893</v>
      </c>
      <c r="H140" s="133">
        <v>0.43811155152887893</v>
      </c>
      <c r="I140" s="133">
        <v>0.43811155152887893</v>
      </c>
      <c r="J140" s="133">
        <v>0.43811155152887898</v>
      </c>
      <c r="K140" s="149">
        <v>0.43811155152887898</v>
      </c>
    </row>
    <row r="141" spans="2:11">
      <c r="B141" s="196">
        <v>1929</v>
      </c>
      <c r="C141" s="133">
        <v>-8.2979466119096595E-2</v>
      </c>
      <c r="D141" s="133">
        <v>-8.2979466119096595E-2</v>
      </c>
      <c r="E141" s="133">
        <v>-8.2979466119096595E-2</v>
      </c>
      <c r="F141" s="133">
        <v>-8.2979466119096595E-2</v>
      </c>
      <c r="G141" s="133">
        <v>-8.2979466119096595E-2</v>
      </c>
      <c r="H141" s="133">
        <v>-8.2979466119096595E-2</v>
      </c>
      <c r="I141" s="133">
        <v>-8.2979466119096595E-2</v>
      </c>
      <c r="J141" s="133">
        <v>-8.2979466119096595E-2</v>
      </c>
      <c r="K141" s="149">
        <v>-8.2979466119096595E-2</v>
      </c>
    </row>
    <row r="142" spans="2:11">
      <c r="B142" s="196">
        <v>1930</v>
      </c>
      <c r="C142" s="133">
        <v>-0.25123636363636365</v>
      </c>
      <c r="D142" s="133">
        <v>-0.25123636363636365</v>
      </c>
      <c r="E142" s="133">
        <v>-0.25123636363636365</v>
      </c>
      <c r="F142" s="133">
        <v>-0.25123636363636365</v>
      </c>
      <c r="G142" s="133">
        <v>-0.25123636363636365</v>
      </c>
      <c r="H142" s="133">
        <v>-0.25123636363636365</v>
      </c>
      <c r="I142" s="133">
        <v>-0.25123636363636365</v>
      </c>
      <c r="J142" s="133">
        <v>-0.25123636363636398</v>
      </c>
      <c r="K142" s="149">
        <v>-0.25123636363636398</v>
      </c>
    </row>
    <row r="143" spans="2:11">
      <c r="B143" s="196">
        <v>1931</v>
      </c>
      <c r="C143" s="133">
        <v>-0.43837548891786188</v>
      </c>
      <c r="D143" s="133">
        <v>-0.43837548891786188</v>
      </c>
      <c r="E143" s="133">
        <v>-0.43837548891786188</v>
      </c>
      <c r="F143" s="133">
        <v>-0.43837548891786188</v>
      </c>
      <c r="G143" s="133">
        <v>-0.43837548891786188</v>
      </c>
      <c r="H143" s="133">
        <v>-0.43837548891786188</v>
      </c>
      <c r="I143" s="133">
        <v>-0.43837548891786188</v>
      </c>
      <c r="J143" s="133">
        <v>-0.43837548891786199</v>
      </c>
      <c r="K143" s="149">
        <v>-0.43837548891786199</v>
      </c>
    </row>
    <row r="144" spans="2:11">
      <c r="B144" s="196">
        <v>1932</v>
      </c>
      <c r="C144" s="133">
        <v>-8.642364532019696E-2</v>
      </c>
      <c r="D144" s="133">
        <v>-8.642364532019696E-2</v>
      </c>
      <c r="E144" s="133">
        <v>-8.642364532019696E-2</v>
      </c>
      <c r="F144" s="133">
        <v>-8.642364532019696E-2</v>
      </c>
      <c r="G144" s="133">
        <v>-8.642364532019696E-2</v>
      </c>
      <c r="H144" s="133">
        <v>-8.642364532019696E-2</v>
      </c>
      <c r="I144" s="133">
        <v>-8.642364532019696E-2</v>
      </c>
      <c r="J144" s="133">
        <v>-8.6423645320197001E-2</v>
      </c>
      <c r="K144" s="149">
        <v>-8.6423645320197001E-2</v>
      </c>
    </row>
    <row r="145" spans="2:11">
      <c r="B145" s="196">
        <v>1933</v>
      </c>
      <c r="C145" s="133">
        <v>0.49982225433526023</v>
      </c>
      <c r="D145" s="133">
        <v>0.49982225433526023</v>
      </c>
      <c r="E145" s="133">
        <v>0.49982225433526023</v>
      </c>
      <c r="F145" s="133">
        <v>0.49982225433526023</v>
      </c>
      <c r="G145" s="133">
        <v>0.49982225433526023</v>
      </c>
      <c r="H145" s="133">
        <v>0.49982225433526023</v>
      </c>
      <c r="I145" s="133">
        <v>0.49982225433526023</v>
      </c>
      <c r="J145" s="133">
        <v>0.49982225433526001</v>
      </c>
      <c r="K145" s="149">
        <v>0.49982225433526001</v>
      </c>
    </row>
    <row r="146" spans="2:11">
      <c r="B146" s="196">
        <v>1934</v>
      </c>
      <c r="C146" s="133">
        <v>-1.1885656970912803E-2</v>
      </c>
      <c r="D146" s="133">
        <v>-1.1885656970912803E-2</v>
      </c>
      <c r="E146" s="133">
        <v>-1.1885656970912803E-2</v>
      </c>
      <c r="F146" s="133">
        <v>-1.1885656970912803E-2</v>
      </c>
      <c r="G146" s="133">
        <v>-1.1885656970912803E-2</v>
      </c>
      <c r="H146" s="133">
        <v>-1.1885656970912803E-2</v>
      </c>
      <c r="I146" s="133">
        <v>-1.1885656970912803E-2</v>
      </c>
      <c r="J146" s="133">
        <v>-1.1885656970912799E-2</v>
      </c>
      <c r="K146" s="149">
        <v>-1.1885656970912799E-2</v>
      </c>
    </row>
    <row r="147" spans="2:11">
      <c r="B147" s="196">
        <v>1935</v>
      </c>
      <c r="C147" s="133">
        <v>0.46740421052631581</v>
      </c>
      <c r="D147" s="133">
        <v>0.46740421052631581</v>
      </c>
      <c r="E147" s="133">
        <v>0.46740421052631581</v>
      </c>
      <c r="F147" s="133">
        <v>0.46740421052631581</v>
      </c>
      <c r="G147" s="133">
        <v>0.46740421052631581</v>
      </c>
      <c r="H147" s="133">
        <v>0.46740421052631581</v>
      </c>
      <c r="I147" s="133">
        <v>0.46740421052631581</v>
      </c>
      <c r="J147" s="133">
        <v>0.46740421052631598</v>
      </c>
      <c r="K147" s="149">
        <v>0.46740421052631598</v>
      </c>
    </row>
    <row r="148" spans="2:11">
      <c r="B148" s="196">
        <v>1936</v>
      </c>
      <c r="C148" s="133">
        <v>0.31943410275502609</v>
      </c>
      <c r="D148" s="133">
        <v>0.31943410275502609</v>
      </c>
      <c r="E148" s="133">
        <v>0.31943410275502609</v>
      </c>
      <c r="F148" s="133">
        <v>0.31943410275502609</v>
      </c>
      <c r="G148" s="133">
        <v>0.31943410275502609</v>
      </c>
      <c r="H148" s="133">
        <v>0.31943410275502609</v>
      </c>
      <c r="I148" s="133">
        <v>0.31943410275502609</v>
      </c>
      <c r="J148" s="133">
        <v>0.31943410275502598</v>
      </c>
      <c r="K148" s="149">
        <v>0.31943410275502598</v>
      </c>
    </row>
    <row r="149" spans="2:11">
      <c r="B149" s="196">
        <v>1937</v>
      </c>
      <c r="C149" s="133">
        <v>-0.35336728754365537</v>
      </c>
      <c r="D149" s="133">
        <v>-0.35336728754365537</v>
      </c>
      <c r="E149" s="133">
        <v>-0.35336728754365537</v>
      </c>
      <c r="F149" s="133">
        <v>-0.35336728754365537</v>
      </c>
      <c r="G149" s="133">
        <v>-0.35336728754365537</v>
      </c>
      <c r="H149" s="133">
        <v>-0.35336728754365537</v>
      </c>
      <c r="I149" s="133">
        <v>-0.35336728754365537</v>
      </c>
      <c r="J149" s="133">
        <v>-0.35336728754365498</v>
      </c>
      <c r="K149" s="149">
        <v>-0.35336728754365498</v>
      </c>
    </row>
    <row r="150" spans="2:11">
      <c r="B150" s="196">
        <v>1938</v>
      </c>
      <c r="C150" s="133">
        <v>0.29282654028436017</v>
      </c>
      <c r="D150" s="133">
        <v>0.29282654028436017</v>
      </c>
      <c r="E150" s="133">
        <v>0.29282654028436017</v>
      </c>
      <c r="F150" s="133">
        <v>0.29282654028436017</v>
      </c>
      <c r="G150" s="133">
        <v>0.29282654028436017</v>
      </c>
      <c r="H150" s="133">
        <v>0.29282654028436017</v>
      </c>
      <c r="I150" s="133">
        <v>0.29282654028436017</v>
      </c>
      <c r="J150" s="133">
        <v>0.29282654028436</v>
      </c>
      <c r="K150" s="149">
        <v>0.29282654028436</v>
      </c>
    </row>
    <row r="151" spans="2:11">
      <c r="B151" s="196">
        <v>1939</v>
      </c>
      <c r="C151" s="133">
        <v>-1.0975646879756443E-2</v>
      </c>
      <c r="D151" s="133">
        <v>-1.0975646879756443E-2</v>
      </c>
      <c r="E151" s="133">
        <v>-1.0975646879756443E-2</v>
      </c>
      <c r="F151" s="133">
        <v>-1.0975646879756443E-2</v>
      </c>
      <c r="G151" s="133">
        <v>-1.0975646879756443E-2</v>
      </c>
      <c r="H151" s="133">
        <v>-1.0975646879756443E-2</v>
      </c>
      <c r="I151" s="133">
        <v>-1.0975646879756443E-2</v>
      </c>
      <c r="J151" s="133">
        <v>-1.09756468797564E-2</v>
      </c>
      <c r="K151" s="149">
        <v>-1.09756468797564E-2</v>
      </c>
    </row>
    <row r="152" spans="2:11">
      <c r="B152" s="196">
        <v>1940</v>
      </c>
      <c r="C152" s="133">
        <v>-0.10672873194221515</v>
      </c>
      <c r="D152" s="133">
        <v>-0.10672873194221515</v>
      </c>
      <c r="E152" s="133">
        <v>-0.10672873194221515</v>
      </c>
      <c r="F152" s="133">
        <v>-0.10672873194221515</v>
      </c>
      <c r="G152" s="133">
        <v>-0.10672873194221515</v>
      </c>
      <c r="H152" s="133">
        <v>-0.10672873194221515</v>
      </c>
      <c r="I152" s="133">
        <v>-0.10672873194221515</v>
      </c>
      <c r="J152" s="133">
        <v>-0.10672873194221499</v>
      </c>
      <c r="K152" s="149">
        <v>-0.10672873194221499</v>
      </c>
    </row>
    <row r="153" spans="2:11">
      <c r="B153" s="196">
        <v>1941</v>
      </c>
      <c r="C153" s="133">
        <v>-0.12771455576559551</v>
      </c>
      <c r="D153" s="133">
        <v>-0.12771455576559551</v>
      </c>
      <c r="E153" s="133">
        <v>-0.12771455576559551</v>
      </c>
      <c r="F153" s="133">
        <v>-0.12771455576559551</v>
      </c>
      <c r="G153" s="133">
        <v>-0.12771455576559551</v>
      </c>
      <c r="H153" s="133">
        <v>-0.12771455576559551</v>
      </c>
      <c r="I153" s="133">
        <v>-0.12771455576559551</v>
      </c>
      <c r="J153" s="133">
        <v>-0.12771455576559601</v>
      </c>
      <c r="K153" s="149">
        <v>-0.12771455576559601</v>
      </c>
    </row>
    <row r="154" spans="2:11">
      <c r="B154" s="196">
        <v>1942</v>
      </c>
      <c r="C154" s="133">
        <v>0.19173762945914843</v>
      </c>
      <c r="D154" s="133">
        <v>0.19173762945914843</v>
      </c>
      <c r="E154" s="133">
        <v>0.19173762945914843</v>
      </c>
      <c r="F154" s="133">
        <v>0.19173762945914843</v>
      </c>
      <c r="G154" s="133">
        <v>0.19173762945914843</v>
      </c>
      <c r="H154" s="133">
        <v>0.19173762945914843</v>
      </c>
      <c r="I154" s="133">
        <v>0.19173762945914843</v>
      </c>
      <c r="J154" s="133">
        <v>0.19173762945914799</v>
      </c>
      <c r="K154" s="149">
        <v>0.19173762945914799</v>
      </c>
    </row>
    <row r="155" spans="2:11">
      <c r="B155" s="196">
        <v>1943</v>
      </c>
      <c r="C155" s="133">
        <v>0.25061310133060394</v>
      </c>
      <c r="D155" s="133">
        <v>0.25061310133060394</v>
      </c>
      <c r="E155" s="133">
        <v>0.25061310133060394</v>
      </c>
      <c r="F155" s="133">
        <v>0.25061310133060394</v>
      </c>
      <c r="G155" s="133">
        <v>0.25061310133060394</v>
      </c>
      <c r="H155" s="133">
        <v>0.25061310133060394</v>
      </c>
      <c r="I155" s="133">
        <v>0.25061310133060394</v>
      </c>
      <c r="J155" s="133">
        <v>0.25061310133060399</v>
      </c>
      <c r="K155" s="149">
        <v>0.25061310133060399</v>
      </c>
    </row>
    <row r="156" spans="2:11">
      <c r="B156" s="196">
        <v>1944</v>
      </c>
      <c r="C156" s="133">
        <v>0.19030676949443009</v>
      </c>
      <c r="D156" s="133">
        <v>0.19030676949443009</v>
      </c>
      <c r="E156" s="133">
        <v>0.19030676949443009</v>
      </c>
      <c r="F156" s="133">
        <v>0.19030676949443009</v>
      </c>
      <c r="G156" s="133">
        <v>0.19030676949443009</v>
      </c>
      <c r="H156" s="133">
        <v>0.19030676949443009</v>
      </c>
      <c r="I156" s="133">
        <v>0.19030676949443009</v>
      </c>
      <c r="J156" s="133">
        <v>0.19030676949443001</v>
      </c>
      <c r="K156" s="149">
        <v>0.19030676949443001</v>
      </c>
    </row>
    <row r="157" spans="2:11">
      <c r="B157" s="196">
        <v>1945</v>
      </c>
      <c r="C157" s="133">
        <v>0.35821084337349401</v>
      </c>
      <c r="D157" s="133">
        <v>0.35821084337349401</v>
      </c>
      <c r="E157" s="133">
        <v>0.35821084337349401</v>
      </c>
      <c r="F157" s="133">
        <v>0.35821084337349401</v>
      </c>
      <c r="G157" s="133">
        <v>0.35821084337349401</v>
      </c>
      <c r="H157" s="133">
        <v>0.35821084337349401</v>
      </c>
      <c r="I157" s="133">
        <v>0.35821084337349401</v>
      </c>
      <c r="J157" s="133">
        <v>0.35821084337349401</v>
      </c>
      <c r="K157" s="149">
        <v>0.35821084337349401</v>
      </c>
    </row>
    <row r="158" spans="2:11">
      <c r="B158" s="196">
        <v>1946</v>
      </c>
      <c r="C158" s="133">
        <v>-8.4291474654377807E-2</v>
      </c>
      <c r="D158" s="133">
        <v>-8.4291474654377807E-2</v>
      </c>
      <c r="E158" s="133">
        <v>-8.4291474654377807E-2</v>
      </c>
      <c r="F158" s="133">
        <v>-8.4291474654377807E-2</v>
      </c>
      <c r="G158" s="133">
        <v>-8.4291474654377807E-2</v>
      </c>
      <c r="H158" s="133">
        <v>-8.4291474654377807E-2</v>
      </c>
      <c r="I158" s="133">
        <v>-8.4291474654377807E-2</v>
      </c>
      <c r="J158" s="133">
        <v>-8.4291474654377793E-2</v>
      </c>
      <c r="K158" s="149">
        <v>-8.4291474654377793E-2</v>
      </c>
    </row>
    <row r="159" spans="2:11">
      <c r="B159" s="196">
        <v>1947</v>
      </c>
      <c r="C159" s="133">
        <v>5.1999999999999998E-2</v>
      </c>
      <c r="D159" s="133">
        <v>5.1999999999999998E-2</v>
      </c>
      <c r="E159" s="133">
        <v>5.1999999999999998E-2</v>
      </c>
      <c r="F159" s="133">
        <v>5.1999999999999998E-2</v>
      </c>
      <c r="G159" s="133">
        <v>5.1999999999999998E-2</v>
      </c>
      <c r="H159" s="133">
        <v>5.1999999999999998E-2</v>
      </c>
      <c r="I159" s="133">
        <v>5.1999999999999998E-2</v>
      </c>
      <c r="J159" s="133">
        <v>5.1999999999999998E-2</v>
      </c>
      <c r="K159" s="149">
        <v>5.1999999999999998E-2</v>
      </c>
    </row>
    <row r="160" spans="2:11">
      <c r="B160" s="196">
        <v>1948</v>
      </c>
      <c r="C160" s="133">
        <v>5.7045751633986834E-2</v>
      </c>
      <c r="D160" s="133">
        <v>5.7045751633986834E-2</v>
      </c>
      <c r="E160" s="133">
        <v>5.7045751633986834E-2</v>
      </c>
      <c r="F160" s="133">
        <v>5.7045751633986834E-2</v>
      </c>
      <c r="G160" s="133">
        <v>5.7045751633986834E-2</v>
      </c>
      <c r="H160" s="133">
        <v>5.7045751633986834E-2</v>
      </c>
      <c r="I160" s="133">
        <v>5.7045751633986834E-2</v>
      </c>
      <c r="J160" s="133">
        <v>5.7045751633986799E-2</v>
      </c>
      <c r="K160" s="149">
        <v>5.7045751633986799E-2</v>
      </c>
    </row>
    <row r="161" spans="2:11">
      <c r="B161" s="196">
        <v>1949</v>
      </c>
      <c r="C161" s="133">
        <v>0.18303223684210526</v>
      </c>
      <c r="D161" s="133">
        <v>0.18303223684210526</v>
      </c>
      <c r="E161" s="133">
        <v>0.18303223684210526</v>
      </c>
      <c r="F161" s="133">
        <v>0.18303223684210526</v>
      </c>
      <c r="G161" s="133">
        <v>0.18303223684210526</v>
      </c>
      <c r="H161" s="133">
        <v>0.18303223684210526</v>
      </c>
      <c r="I161" s="133">
        <v>0.18303223684210526</v>
      </c>
      <c r="J161" s="133">
        <v>0.18303223684210501</v>
      </c>
      <c r="K161" s="149">
        <v>0.18303223684210501</v>
      </c>
    </row>
    <row r="162" spans="2:11">
      <c r="B162" s="196">
        <v>1950</v>
      </c>
      <c r="C162" s="133">
        <v>0.30805539011316263</v>
      </c>
      <c r="D162" s="133">
        <v>0.30805539011316263</v>
      </c>
      <c r="E162" s="133">
        <v>0.30805539011316263</v>
      </c>
      <c r="F162" s="133">
        <v>0.30805539011316263</v>
      </c>
      <c r="G162" s="133">
        <v>0.30805539011316263</v>
      </c>
      <c r="H162" s="133">
        <v>0.30805539011316263</v>
      </c>
      <c r="I162" s="133">
        <v>0.30805539011316263</v>
      </c>
      <c r="J162" s="133">
        <v>0.30805539011316302</v>
      </c>
      <c r="K162" s="149">
        <v>0.30805539011316302</v>
      </c>
    </row>
    <row r="163" spans="2:11">
      <c r="B163" s="196">
        <v>1951</v>
      </c>
      <c r="C163" s="133">
        <v>0.23678463044542339</v>
      </c>
      <c r="D163" s="133">
        <v>0.23678463044542339</v>
      </c>
      <c r="E163" s="133">
        <v>0.23678463044542339</v>
      </c>
      <c r="F163" s="133">
        <v>0.23678463044542339</v>
      </c>
      <c r="G163" s="133">
        <v>0.23678463044542339</v>
      </c>
      <c r="H163" s="133">
        <v>0.23678463044542339</v>
      </c>
      <c r="I163" s="133">
        <v>0.23678463044542339</v>
      </c>
      <c r="J163" s="133">
        <v>0.236784630445423</v>
      </c>
      <c r="K163" s="149">
        <v>0.236784630445423</v>
      </c>
    </row>
    <row r="164" spans="2:11">
      <c r="B164" s="196">
        <v>1952</v>
      </c>
      <c r="C164" s="133">
        <v>0.18150988641144306</v>
      </c>
      <c r="D164" s="133">
        <v>0.18150988641144306</v>
      </c>
      <c r="E164" s="133">
        <v>0.18150988641144306</v>
      </c>
      <c r="F164" s="133">
        <v>0.18150988641144306</v>
      </c>
      <c r="G164" s="133">
        <v>0.18150988641144306</v>
      </c>
      <c r="H164" s="133">
        <v>0.18150988641144306</v>
      </c>
      <c r="I164" s="133">
        <v>0.18150988641144306</v>
      </c>
      <c r="J164" s="133">
        <v>0.181509886411443</v>
      </c>
      <c r="K164" s="149">
        <v>0.181509886411443</v>
      </c>
    </row>
    <row r="165" spans="2:11">
      <c r="B165" s="196">
        <v>1953</v>
      </c>
      <c r="C165" s="133">
        <v>-1.2082047421904465E-2</v>
      </c>
      <c r="D165" s="133">
        <v>-1.2082047421904465E-2</v>
      </c>
      <c r="E165" s="133">
        <v>-1.2082047421904465E-2</v>
      </c>
      <c r="F165" s="133">
        <v>-1.2082047421904465E-2</v>
      </c>
      <c r="G165" s="133">
        <v>-1.2082047421904465E-2</v>
      </c>
      <c r="H165" s="133">
        <v>-1.2082047421904465E-2</v>
      </c>
      <c r="I165" s="133">
        <v>-1.2082047421904465E-2</v>
      </c>
      <c r="J165" s="133">
        <v>-1.2082047421904499E-2</v>
      </c>
      <c r="K165" s="149">
        <v>-1.2082047421904499E-2</v>
      </c>
    </row>
    <row r="166" spans="2:11">
      <c r="B166" s="196">
        <v>1954</v>
      </c>
      <c r="C166" s="133">
        <v>0.52563321241434902</v>
      </c>
      <c r="D166" s="133">
        <v>0.52563321241434902</v>
      </c>
      <c r="E166" s="133">
        <v>0.52563321241434902</v>
      </c>
      <c r="F166" s="133">
        <v>0.52563321241434902</v>
      </c>
      <c r="G166" s="133">
        <v>0.52563321241434902</v>
      </c>
      <c r="H166" s="133">
        <v>0.52563321241434902</v>
      </c>
      <c r="I166" s="133">
        <v>0.52563321241434902</v>
      </c>
      <c r="J166" s="133">
        <v>0.52563321241434902</v>
      </c>
      <c r="K166" s="149">
        <v>0.52563321241434902</v>
      </c>
    </row>
    <row r="167" spans="2:11">
      <c r="B167" s="196">
        <v>1955</v>
      </c>
      <c r="C167" s="133">
        <v>0.32597331851028349</v>
      </c>
      <c r="D167" s="133">
        <v>0.32597331851028349</v>
      </c>
      <c r="E167" s="133">
        <v>0.32597331851028349</v>
      </c>
      <c r="F167" s="133">
        <v>0.32597331851028349</v>
      </c>
      <c r="G167" s="133">
        <v>0.32597331851028349</v>
      </c>
      <c r="H167" s="133">
        <v>0.32597331851028349</v>
      </c>
      <c r="I167" s="133">
        <v>0.32597331851028349</v>
      </c>
      <c r="J167" s="133">
        <v>0.32597331851028299</v>
      </c>
      <c r="K167" s="149">
        <v>0.32597331851028299</v>
      </c>
    </row>
    <row r="168" spans="2:11">
      <c r="B168" s="196">
        <v>1956</v>
      </c>
      <c r="C168" s="133">
        <v>7.4395118733509347E-2</v>
      </c>
      <c r="D168" s="133">
        <v>7.4395118733509347E-2</v>
      </c>
      <c r="E168" s="133">
        <v>7.4395118733509347E-2</v>
      </c>
      <c r="F168" s="133">
        <v>7.4395118733509347E-2</v>
      </c>
      <c r="G168" s="133">
        <v>7.4395118733509347E-2</v>
      </c>
      <c r="H168" s="133">
        <v>7.4395118733509347E-2</v>
      </c>
      <c r="I168" s="133">
        <v>7.4395118733509347E-2</v>
      </c>
      <c r="J168" s="133">
        <v>7.4395118733509305E-2</v>
      </c>
      <c r="K168" s="149">
        <v>7.4395118733509305E-2</v>
      </c>
    </row>
    <row r="169" spans="2:11">
      <c r="B169" s="196">
        <v>1957</v>
      </c>
      <c r="C169" s="133">
        <v>-0.1045736018855796</v>
      </c>
      <c r="D169" s="133">
        <v>-0.1045736018855796</v>
      </c>
      <c r="E169" s="133">
        <v>-0.1045736018855796</v>
      </c>
      <c r="F169" s="133">
        <v>-0.1045736018855796</v>
      </c>
      <c r="G169" s="133">
        <v>-0.1045736018855796</v>
      </c>
      <c r="H169" s="133">
        <v>-0.1045736018855796</v>
      </c>
      <c r="I169" s="133">
        <v>-0.1045736018855796</v>
      </c>
      <c r="J169" s="133">
        <v>-0.10457360188558</v>
      </c>
      <c r="K169" s="149">
        <v>-0.10457360188558</v>
      </c>
    </row>
    <row r="170" spans="2:11">
      <c r="B170" s="196">
        <v>1958</v>
      </c>
      <c r="C170" s="133">
        <v>0.43719954988747184</v>
      </c>
      <c r="D170" s="133">
        <v>0.43719954988747184</v>
      </c>
      <c r="E170" s="133">
        <v>0.43719954988747184</v>
      </c>
      <c r="F170" s="133">
        <v>0.43719954988747184</v>
      </c>
      <c r="G170" s="133">
        <v>0.43719954988747184</v>
      </c>
      <c r="H170" s="133">
        <v>0.43719954988747184</v>
      </c>
      <c r="I170" s="133">
        <v>0.43719954988747184</v>
      </c>
      <c r="J170" s="133">
        <v>0.43719954988747201</v>
      </c>
      <c r="K170" s="149">
        <v>0.43719954988747201</v>
      </c>
    </row>
    <row r="171" spans="2:11">
      <c r="B171" s="196">
        <v>1959</v>
      </c>
      <c r="C171" s="133">
        <v>0.12056457163557326</v>
      </c>
      <c r="D171" s="133">
        <v>0.12056457163557326</v>
      </c>
      <c r="E171" s="133">
        <v>0.12056457163557326</v>
      </c>
      <c r="F171" s="133">
        <v>0.12056457163557326</v>
      </c>
      <c r="G171" s="133">
        <v>0.12056457163557326</v>
      </c>
      <c r="H171" s="133">
        <v>0.12056457163557326</v>
      </c>
      <c r="I171" s="133">
        <v>0.12056457163557326</v>
      </c>
      <c r="J171" s="133">
        <v>0.12056457163557301</v>
      </c>
      <c r="K171" s="149">
        <v>0.12056457163557301</v>
      </c>
    </row>
    <row r="172" spans="2:11">
      <c r="B172" s="196">
        <v>1960</v>
      </c>
      <c r="C172" s="133">
        <v>3.36535314743695E-3</v>
      </c>
      <c r="D172" s="133">
        <v>3.36535314743695E-3</v>
      </c>
      <c r="E172" s="133">
        <v>3.36535314743695E-3</v>
      </c>
      <c r="F172" s="133">
        <v>3.36535314743695E-3</v>
      </c>
      <c r="G172" s="133">
        <v>3.36535314743695E-3</v>
      </c>
      <c r="H172" s="133">
        <v>3.36535314743695E-3</v>
      </c>
      <c r="I172" s="133">
        <v>3.36535314743695E-3</v>
      </c>
      <c r="J172" s="133">
        <v>3.36535314743695E-3</v>
      </c>
      <c r="K172" s="149">
        <v>3.36535314743695E-3</v>
      </c>
    </row>
    <row r="173" spans="2:11">
      <c r="B173" s="196">
        <v>1961</v>
      </c>
      <c r="C173" s="133">
        <v>0.26637712958182752</v>
      </c>
      <c r="D173" s="133">
        <v>0.26637712958182752</v>
      </c>
      <c r="E173" s="133">
        <v>0.26637712958182752</v>
      </c>
      <c r="F173" s="133">
        <v>0.26637712958182752</v>
      </c>
      <c r="G173" s="133">
        <v>0.26637712958182752</v>
      </c>
      <c r="H173" s="133">
        <v>0.26637712958182752</v>
      </c>
      <c r="I173" s="133">
        <v>0.26637712958182752</v>
      </c>
      <c r="J173" s="133">
        <v>0.26637712958182802</v>
      </c>
      <c r="K173" s="149">
        <v>0.26637712958182802</v>
      </c>
    </row>
    <row r="174" spans="2:11">
      <c r="B174" s="196">
        <v>1962</v>
      </c>
      <c r="C174" s="133">
        <v>-8.8114605171208879E-2</v>
      </c>
      <c r="D174" s="133">
        <v>-8.8114605171208879E-2</v>
      </c>
      <c r="E174" s="133">
        <v>-8.8114605171208879E-2</v>
      </c>
      <c r="F174" s="133">
        <v>-8.8114605171208879E-2</v>
      </c>
      <c r="G174" s="133">
        <v>-8.8114605171208879E-2</v>
      </c>
      <c r="H174" s="133">
        <v>-8.8114605171208879E-2</v>
      </c>
      <c r="I174" s="133">
        <v>-8.8114605171208879E-2</v>
      </c>
      <c r="J174" s="133">
        <v>-8.8114605171208907E-2</v>
      </c>
      <c r="K174" s="149">
        <v>-8.8114605171208907E-2</v>
      </c>
    </row>
    <row r="175" spans="2:11">
      <c r="B175" s="196">
        <v>1963</v>
      </c>
      <c r="C175" s="133">
        <v>0.22611927099841514</v>
      </c>
      <c r="D175" s="133">
        <v>0.22611927099841514</v>
      </c>
      <c r="E175" s="133">
        <v>0.22611927099841514</v>
      </c>
      <c r="F175" s="133">
        <v>0.22611927099841514</v>
      </c>
      <c r="G175" s="133">
        <v>0.22611927099841514</v>
      </c>
      <c r="H175" s="133">
        <v>0.22611927099841514</v>
      </c>
      <c r="I175" s="133">
        <v>0.22611927099841514</v>
      </c>
      <c r="J175" s="133">
        <v>0.226119270998415</v>
      </c>
      <c r="K175" s="149">
        <v>0.226119270998415</v>
      </c>
    </row>
    <row r="176" spans="2:11">
      <c r="B176" s="196">
        <v>1964</v>
      </c>
      <c r="C176" s="133">
        <v>0.16415455878432425</v>
      </c>
      <c r="D176" s="133">
        <v>0.16415455878432425</v>
      </c>
      <c r="E176" s="133">
        <v>0.16415455878432425</v>
      </c>
      <c r="F176" s="133">
        <v>0.16415455878432425</v>
      </c>
      <c r="G176" s="133">
        <v>0.16415455878432425</v>
      </c>
      <c r="H176" s="133">
        <v>0.16415455878432425</v>
      </c>
      <c r="I176" s="133">
        <v>0.16415455878432425</v>
      </c>
      <c r="J176" s="133">
        <v>0.164154558784324</v>
      </c>
      <c r="K176" s="149">
        <v>0.164154558784324</v>
      </c>
    </row>
    <row r="177" spans="2:11">
      <c r="B177" s="196">
        <v>1965</v>
      </c>
      <c r="C177" s="133">
        <v>0.12399242477876114</v>
      </c>
      <c r="D177" s="133">
        <v>0.12399242477876114</v>
      </c>
      <c r="E177" s="133">
        <v>0.12399242477876114</v>
      </c>
      <c r="F177" s="133">
        <v>0.12399242477876114</v>
      </c>
      <c r="G177" s="133">
        <v>0.12399242477876114</v>
      </c>
      <c r="H177" s="133">
        <v>0.12399242477876114</v>
      </c>
      <c r="I177" s="133">
        <v>0.12399242477876114</v>
      </c>
      <c r="J177" s="133">
        <v>0.123992424778761</v>
      </c>
      <c r="K177" s="149">
        <v>0.123992424778761</v>
      </c>
    </row>
    <row r="178" spans="2:11">
      <c r="B178" s="196">
        <v>1966</v>
      </c>
      <c r="C178" s="133">
        <v>-9.9709542356377898E-2</v>
      </c>
      <c r="D178" s="133">
        <v>-9.9709542356377898E-2</v>
      </c>
      <c r="E178" s="133">
        <v>-9.9709542356377898E-2</v>
      </c>
      <c r="F178" s="133">
        <v>-9.9709542356377898E-2</v>
      </c>
      <c r="G178" s="133">
        <v>-9.9709542356377898E-2</v>
      </c>
      <c r="H178" s="133">
        <v>-9.9709542356377898E-2</v>
      </c>
      <c r="I178" s="133">
        <v>-9.9709542356377898E-2</v>
      </c>
      <c r="J178" s="133">
        <v>-9.9709542356377898E-2</v>
      </c>
      <c r="K178" s="149">
        <v>-9.9709542356377898E-2</v>
      </c>
    </row>
    <row r="179" spans="2:11">
      <c r="B179" s="196">
        <v>1967</v>
      </c>
      <c r="C179" s="133">
        <v>0.23802966513133328</v>
      </c>
      <c r="D179" s="133">
        <v>0.23802966513133328</v>
      </c>
      <c r="E179" s="133">
        <v>0.23802966513133328</v>
      </c>
      <c r="F179" s="133">
        <v>0.23802966513133328</v>
      </c>
      <c r="G179" s="133">
        <v>0.23802966513133328</v>
      </c>
      <c r="H179" s="133">
        <v>0.23802966513133328</v>
      </c>
      <c r="I179" s="133">
        <v>0.23802966513133328</v>
      </c>
      <c r="J179" s="133">
        <v>0.238029665131333</v>
      </c>
      <c r="K179" s="149">
        <v>0.238029665131333</v>
      </c>
    </row>
    <row r="180" spans="2:11">
      <c r="B180" s="196">
        <v>1968</v>
      </c>
      <c r="C180" s="133">
        <v>0.10814862651601535</v>
      </c>
      <c r="D180" s="133">
        <v>0.10814862651601535</v>
      </c>
      <c r="E180" s="133">
        <v>0.10814862651601535</v>
      </c>
      <c r="F180" s="133">
        <v>0.10814862651601535</v>
      </c>
      <c r="G180" s="133">
        <v>0.10814862651601535</v>
      </c>
      <c r="H180" s="133">
        <v>0.10814862651601535</v>
      </c>
      <c r="I180" s="133">
        <v>0.10814862651601535</v>
      </c>
      <c r="J180" s="133">
        <v>0.10814862651601501</v>
      </c>
      <c r="K180" s="149">
        <v>0.10814862651601501</v>
      </c>
    </row>
    <row r="181" spans="2:11">
      <c r="B181" s="196">
        <v>1969</v>
      </c>
      <c r="C181" s="133">
        <v>-8.2413710764490639E-2</v>
      </c>
      <c r="D181" s="133">
        <v>-8.2413710764490639E-2</v>
      </c>
      <c r="E181" s="133">
        <v>-8.2413710764490639E-2</v>
      </c>
      <c r="F181" s="133">
        <v>-8.2413710764490639E-2</v>
      </c>
      <c r="G181" s="133">
        <v>-8.2413710764490639E-2</v>
      </c>
      <c r="H181" s="133">
        <v>-8.2413710764490639E-2</v>
      </c>
      <c r="I181" s="133">
        <v>-8.2413710764490639E-2</v>
      </c>
      <c r="J181" s="133">
        <v>-8.2413710764490597E-2</v>
      </c>
      <c r="K181" s="149">
        <v>-8.2413710764490597E-2</v>
      </c>
    </row>
    <row r="182" spans="2:11">
      <c r="B182" s="196">
        <v>1970</v>
      </c>
      <c r="C182" s="133">
        <v>3.5611449054964189E-2</v>
      </c>
      <c r="D182" s="133">
        <v>3.5611449054964189E-2</v>
      </c>
      <c r="E182" s="133">
        <v>3.5611449054964189E-2</v>
      </c>
      <c r="F182" s="133">
        <v>3.5611449054964189E-2</v>
      </c>
      <c r="G182" s="133">
        <v>3.5611449054964189E-2</v>
      </c>
      <c r="H182" s="133">
        <v>3.5611449054964189E-2</v>
      </c>
      <c r="I182" s="133">
        <v>3.5611449054964189E-2</v>
      </c>
      <c r="J182" s="133">
        <v>3.5611449054964203E-2</v>
      </c>
      <c r="K182" s="149">
        <v>3.5611449054964203E-2</v>
      </c>
    </row>
    <row r="183" spans="2:11">
      <c r="B183" s="196">
        <v>1971</v>
      </c>
      <c r="C183" s="133">
        <v>0.14221150298426474</v>
      </c>
      <c r="D183" s="133">
        <v>0.14221150298426474</v>
      </c>
      <c r="E183" s="133">
        <v>0.14221150298426474</v>
      </c>
      <c r="F183" s="133">
        <v>0.14221150298426474</v>
      </c>
      <c r="G183" s="133">
        <v>0.14221150298426474</v>
      </c>
      <c r="H183" s="133">
        <v>0.14221150298426474</v>
      </c>
      <c r="I183" s="133">
        <v>0.14221150298426474</v>
      </c>
      <c r="J183" s="133">
        <v>0.14221150298426499</v>
      </c>
      <c r="K183" s="149">
        <v>0.14221150298426499</v>
      </c>
    </row>
    <row r="184" spans="2:11">
      <c r="B184" s="196">
        <v>1972</v>
      </c>
      <c r="C184" s="133">
        <v>0.18755362915074925</v>
      </c>
      <c r="D184" s="133">
        <v>0.18755362915074925</v>
      </c>
      <c r="E184" s="133">
        <v>0.18755362915074925</v>
      </c>
      <c r="F184" s="133">
        <v>0.18755362915074925</v>
      </c>
      <c r="G184" s="133">
        <v>0.18755362915074925</v>
      </c>
      <c r="H184" s="133">
        <v>0.18755362915074925</v>
      </c>
      <c r="I184" s="133">
        <v>0.18755362915074925</v>
      </c>
      <c r="J184" s="133">
        <v>0.187553629150749</v>
      </c>
      <c r="K184" s="149">
        <v>0.187553629150749</v>
      </c>
    </row>
    <row r="185" spans="2:11">
      <c r="B185" s="196">
        <v>1973</v>
      </c>
      <c r="C185" s="133">
        <v>-0.14308047437526472</v>
      </c>
      <c r="D185" s="133">
        <v>-0.14308047437526472</v>
      </c>
      <c r="E185" s="133">
        <v>-0.14308047437526472</v>
      </c>
      <c r="F185" s="133">
        <v>-0.14308047437526472</v>
      </c>
      <c r="G185" s="133">
        <v>-0.14308047437526472</v>
      </c>
      <c r="H185" s="133">
        <v>-0.14308047437526472</v>
      </c>
      <c r="I185" s="133">
        <v>-0.14308047437526472</v>
      </c>
      <c r="J185" s="133">
        <v>-0.143080474375265</v>
      </c>
      <c r="K185" s="149">
        <v>-0.143080474375265</v>
      </c>
    </row>
    <row r="186" spans="2:11">
      <c r="B186" s="196">
        <v>1974</v>
      </c>
      <c r="C186" s="133">
        <v>-0.25901785750896972</v>
      </c>
      <c r="D186" s="133">
        <v>-0.25901785750896972</v>
      </c>
      <c r="E186" s="133">
        <v>-0.25901785750896972</v>
      </c>
      <c r="F186" s="133">
        <v>-0.25901785750896972</v>
      </c>
      <c r="G186" s="133">
        <v>-0.25901785750896972</v>
      </c>
      <c r="H186" s="133">
        <v>-0.25901785750896972</v>
      </c>
      <c r="I186" s="133">
        <v>-0.25901785750896972</v>
      </c>
      <c r="J186" s="133">
        <v>-0.25901785750897</v>
      </c>
      <c r="K186" s="149">
        <v>-0.25901785750897</v>
      </c>
    </row>
    <row r="187" spans="2:11">
      <c r="B187" s="196">
        <v>1975</v>
      </c>
      <c r="C187" s="133">
        <v>0.36995137106184356</v>
      </c>
      <c r="D187" s="133">
        <v>0.36995137106184356</v>
      </c>
      <c r="E187" s="133">
        <v>0.36995137106184356</v>
      </c>
      <c r="F187" s="133">
        <v>0.36995137106184356</v>
      </c>
      <c r="G187" s="133">
        <v>0.36995137106184356</v>
      </c>
      <c r="H187" s="133">
        <v>0.36995137106184356</v>
      </c>
      <c r="I187" s="133">
        <v>0.36995137106184356</v>
      </c>
      <c r="J187" s="133">
        <v>0.369951371061844</v>
      </c>
      <c r="K187" s="149">
        <v>0.369951371061844</v>
      </c>
    </row>
    <row r="188" spans="2:11">
      <c r="B188" s="196">
        <v>1976</v>
      </c>
      <c r="C188" s="133">
        <v>0.23830999002106662</v>
      </c>
      <c r="D188" s="133">
        <v>0.23830999002106662</v>
      </c>
      <c r="E188" s="133">
        <v>0.23830999002106662</v>
      </c>
      <c r="F188" s="133">
        <v>0.23830999002106662</v>
      </c>
      <c r="G188" s="133">
        <v>0.23830999002106662</v>
      </c>
      <c r="H188" s="133">
        <v>0.23830999002106662</v>
      </c>
      <c r="I188" s="133">
        <v>0.23830999002106662</v>
      </c>
      <c r="J188" s="133">
        <v>0.23830999002106701</v>
      </c>
      <c r="K188" s="149">
        <v>0.23830999002106701</v>
      </c>
    </row>
    <row r="189" spans="2:11">
      <c r="B189" s="196">
        <v>1977</v>
      </c>
      <c r="C189" s="133">
        <v>-6.9797040759352322E-2</v>
      </c>
      <c r="D189" s="133">
        <v>-6.9797040759352322E-2</v>
      </c>
      <c r="E189" s="133">
        <v>-6.9797040759352322E-2</v>
      </c>
      <c r="F189" s="133">
        <v>-6.9797040759352322E-2</v>
      </c>
      <c r="G189" s="133">
        <v>-6.9797040759352322E-2</v>
      </c>
      <c r="H189" s="133">
        <v>-6.9797040759352322E-2</v>
      </c>
      <c r="I189" s="133">
        <v>-6.9797040759352322E-2</v>
      </c>
      <c r="J189" s="133">
        <v>-6.9797040759352294E-2</v>
      </c>
      <c r="K189" s="149">
        <v>-6.9797040759352294E-2</v>
      </c>
    </row>
    <row r="190" spans="2:11">
      <c r="B190" s="196">
        <v>1978</v>
      </c>
      <c r="C190" s="133">
        <v>6.50928391167193E-2</v>
      </c>
      <c r="D190" s="133">
        <v>6.50928391167193E-2</v>
      </c>
      <c r="E190" s="133">
        <v>6.50928391167193E-2</v>
      </c>
      <c r="F190" s="133">
        <v>6.50928391167193E-2</v>
      </c>
      <c r="G190" s="133">
        <v>6.50928391167193E-2</v>
      </c>
      <c r="H190" s="133">
        <v>6.50928391167193E-2</v>
      </c>
      <c r="I190" s="133">
        <v>6.50928391167193E-2</v>
      </c>
      <c r="J190" s="133">
        <v>6.50928391167193E-2</v>
      </c>
      <c r="K190" s="149">
        <v>6.50928391167193E-2</v>
      </c>
    </row>
    <row r="191" spans="2:11">
      <c r="B191" s="196">
        <v>1979</v>
      </c>
      <c r="C191" s="133">
        <v>0.18519490167516386</v>
      </c>
      <c r="D191" s="133">
        <v>0.18519490167516386</v>
      </c>
      <c r="E191" s="133">
        <v>0.18519490167516386</v>
      </c>
      <c r="F191" s="133">
        <v>0.18519490167516386</v>
      </c>
      <c r="G191" s="133">
        <v>0.18519490167516386</v>
      </c>
      <c r="H191" s="133">
        <v>0.18519490167516386</v>
      </c>
      <c r="I191" s="133">
        <v>0.18519490167516386</v>
      </c>
      <c r="J191" s="133">
        <v>0.185194901675164</v>
      </c>
      <c r="K191" s="149">
        <v>0.185194901675164</v>
      </c>
    </row>
    <row r="192" spans="2:11">
      <c r="B192" s="196">
        <v>1980</v>
      </c>
      <c r="C192" s="133">
        <v>0.3173524550676301</v>
      </c>
      <c r="D192" s="133">
        <v>0.3173524550676301</v>
      </c>
      <c r="E192" s="133">
        <v>0.3173524550676301</v>
      </c>
      <c r="F192" s="133">
        <v>0.3173524550676301</v>
      </c>
      <c r="G192" s="133">
        <v>0.3173524550676301</v>
      </c>
      <c r="H192" s="133">
        <v>0.3173524550676301</v>
      </c>
      <c r="I192" s="133">
        <v>0.3173524550676301</v>
      </c>
      <c r="J192" s="133">
        <v>0.31735245506762999</v>
      </c>
      <c r="K192" s="149">
        <v>0.31735245506762999</v>
      </c>
    </row>
    <row r="193" spans="2:11">
      <c r="B193" s="196">
        <v>1981</v>
      </c>
      <c r="C193" s="133">
        <v>-4.7023902474955762E-2</v>
      </c>
      <c r="D193" s="133">
        <v>-4.7023902474955762E-2</v>
      </c>
      <c r="E193" s="133">
        <v>-4.7023902474955762E-2</v>
      </c>
      <c r="F193" s="133">
        <v>-4.7023902474955762E-2</v>
      </c>
      <c r="G193" s="133">
        <v>-4.7023902474955762E-2</v>
      </c>
      <c r="H193" s="133">
        <v>-4.7023902474955762E-2</v>
      </c>
      <c r="I193" s="133">
        <v>-4.7023902474955762E-2</v>
      </c>
      <c r="J193" s="133">
        <v>-4.7023902474955803E-2</v>
      </c>
      <c r="K193" s="149">
        <v>-4.7023902474955803E-2</v>
      </c>
    </row>
    <row r="194" spans="2:11">
      <c r="B194" s="196">
        <v>1982</v>
      </c>
      <c r="C194" s="133">
        <v>0.20419055079559353</v>
      </c>
      <c r="D194" s="133">
        <v>0.20419055079559353</v>
      </c>
      <c r="E194" s="133">
        <v>0.20419055079559353</v>
      </c>
      <c r="F194" s="133">
        <v>0.20419055079559353</v>
      </c>
      <c r="G194" s="133">
        <v>0.20419055079559353</v>
      </c>
      <c r="H194" s="133">
        <v>0.20419055079559353</v>
      </c>
      <c r="I194" s="133">
        <v>0.20419055079559353</v>
      </c>
      <c r="J194" s="133">
        <v>0.20419055079559401</v>
      </c>
      <c r="K194" s="149">
        <v>0.20419055079559401</v>
      </c>
    </row>
    <row r="195" spans="2:11">
      <c r="B195" s="196">
        <v>1983</v>
      </c>
      <c r="C195" s="133">
        <v>0.22337155858930619</v>
      </c>
      <c r="D195" s="133">
        <v>0.22337155858930619</v>
      </c>
      <c r="E195" s="133">
        <v>0.22337155858930619</v>
      </c>
      <c r="F195" s="133">
        <v>0.22337155858930619</v>
      </c>
      <c r="G195" s="133">
        <v>0.22337155858930619</v>
      </c>
      <c r="H195" s="133">
        <v>0.22337155858930619</v>
      </c>
      <c r="I195" s="133">
        <v>0.22337155858930619</v>
      </c>
      <c r="J195" s="133">
        <v>0.22337155858930599</v>
      </c>
      <c r="K195" s="149">
        <v>0.22337155858930599</v>
      </c>
    </row>
    <row r="196" spans="2:11">
      <c r="B196" s="196">
        <v>1984</v>
      </c>
      <c r="C196" s="133">
        <v>6.14614199963621E-2</v>
      </c>
      <c r="D196" s="133">
        <v>6.14614199963621E-2</v>
      </c>
      <c r="E196" s="133">
        <v>6.14614199963621E-2</v>
      </c>
      <c r="F196" s="133">
        <v>6.14614199963621E-2</v>
      </c>
      <c r="G196" s="133">
        <v>6.14614199963621E-2</v>
      </c>
      <c r="H196" s="133">
        <v>6.14614199963621E-2</v>
      </c>
      <c r="I196" s="133">
        <v>6.14614199963621E-2</v>
      </c>
      <c r="J196" s="133">
        <v>6.14614199963621E-2</v>
      </c>
      <c r="K196" s="149">
        <v>6.14614199963621E-2</v>
      </c>
    </row>
    <row r="197" spans="2:11">
      <c r="B197" s="196">
        <v>1985</v>
      </c>
      <c r="C197" s="133">
        <v>0.31235149485768948</v>
      </c>
      <c r="D197" s="133">
        <v>0.31235149485768948</v>
      </c>
      <c r="E197" s="133">
        <v>0.31235149485768948</v>
      </c>
      <c r="F197" s="133">
        <v>0.31235149485768948</v>
      </c>
      <c r="G197" s="133">
        <v>0.31235149485768948</v>
      </c>
      <c r="H197" s="133">
        <v>0.31235149485768948</v>
      </c>
      <c r="I197" s="133">
        <v>0.31235149485768948</v>
      </c>
      <c r="J197" s="133">
        <v>0.31235149485768898</v>
      </c>
      <c r="K197" s="149">
        <v>0.31235149485768898</v>
      </c>
    </row>
    <row r="198" spans="2:11">
      <c r="B198" s="196">
        <v>1986</v>
      </c>
      <c r="C198" s="133">
        <v>0.18494578758046187</v>
      </c>
      <c r="D198" s="133">
        <v>0.18494578758046187</v>
      </c>
      <c r="E198" s="133">
        <v>0.18494578758046187</v>
      </c>
      <c r="F198" s="133">
        <v>0.18494578758046187</v>
      </c>
      <c r="G198" s="133">
        <v>0.18494578758046187</v>
      </c>
      <c r="H198" s="133">
        <v>0.18494578758046187</v>
      </c>
      <c r="I198" s="133">
        <v>0.18494578758046187</v>
      </c>
      <c r="J198" s="133">
        <v>0.18494578758046201</v>
      </c>
      <c r="K198" s="149">
        <v>0.18494578758046201</v>
      </c>
    </row>
    <row r="199" spans="2:11">
      <c r="B199" s="196">
        <v>1987</v>
      </c>
      <c r="C199" s="133">
        <v>5.8127216418218712E-2</v>
      </c>
      <c r="D199" s="133">
        <v>5.8127216418218712E-2</v>
      </c>
      <c r="E199" s="133">
        <v>5.8127216418218712E-2</v>
      </c>
      <c r="F199" s="133">
        <v>5.8127216418218712E-2</v>
      </c>
      <c r="G199" s="133">
        <v>5.8127216418218712E-2</v>
      </c>
      <c r="H199" s="133">
        <v>5.8127216418218712E-2</v>
      </c>
      <c r="I199" s="133">
        <v>5.8127216418218712E-2</v>
      </c>
      <c r="J199" s="133">
        <v>5.8127216418218698E-2</v>
      </c>
      <c r="K199" s="149">
        <v>5.8127216418218698E-2</v>
      </c>
    </row>
    <row r="200" spans="2:11">
      <c r="B200" s="196">
        <v>1988</v>
      </c>
      <c r="C200" s="133">
        <v>0.16537192812044688</v>
      </c>
      <c r="D200" s="133">
        <v>0.16537192812044688</v>
      </c>
      <c r="E200" s="133">
        <v>0.16537192812044688</v>
      </c>
      <c r="F200" s="133">
        <v>0.16537192812044688</v>
      </c>
      <c r="G200" s="133">
        <v>0.16537192812044688</v>
      </c>
      <c r="H200" s="133">
        <v>0.16537192812044688</v>
      </c>
      <c r="I200" s="133">
        <v>0.16537192812044688</v>
      </c>
      <c r="J200" s="133">
        <v>0.16537192812044699</v>
      </c>
      <c r="K200" s="149">
        <v>0.16537192812044699</v>
      </c>
    </row>
    <row r="201" spans="2:11">
      <c r="B201" s="196">
        <v>1989</v>
      </c>
      <c r="C201" s="133">
        <v>0.31475183638196724</v>
      </c>
      <c r="D201" s="133">
        <v>0.31475183638196724</v>
      </c>
      <c r="E201" s="133">
        <v>0.31475183638196724</v>
      </c>
      <c r="F201" s="133">
        <v>0.31475183638196724</v>
      </c>
      <c r="G201" s="133">
        <v>0.31475183638196724</v>
      </c>
      <c r="H201" s="133">
        <v>0.31475183638196724</v>
      </c>
      <c r="I201" s="133">
        <v>0.31475183638196724</v>
      </c>
      <c r="J201" s="133">
        <v>0.31475183638196702</v>
      </c>
      <c r="K201" s="149">
        <v>0.31475183638196702</v>
      </c>
    </row>
    <row r="202" spans="2:11">
      <c r="B202" s="196">
        <v>1990</v>
      </c>
      <c r="C202" s="133">
        <v>-3.0644516129032118E-2</v>
      </c>
      <c r="D202" s="133">
        <v>-3.0644516129032118E-2</v>
      </c>
      <c r="E202" s="133">
        <v>-3.0644516129032118E-2</v>
      </c>
      <c r="F202" s="133">
        <v>-3.0644516129032118E-2</v>
      </c>
      <c r="G202" s="133">
        <v>-3.0644516129032118E-2</v>
      </c>
      <c r="H202" s="133">
        <v>-3.0644516129032118E-2</v>
      </c>
      <c r="I202" s="133">
        <v>-3.0644516129032118E-2</v>
      </c>
      <c r="J202" s="133">
        <v>-3.0644516129032101E-2</v>
      </c>
      <c r="K202" s="149">
        <v>-3.0644516129032101E-2</v>
      </c>
    </row>
    <row r="203" spans="2:11">
      <c r="B203" s="196">
        <v>1991</v>
      </c>
      <c r="C203" s="133">
        <v>0.30234843134879757</v>
      </c>
      <c r="D203" s="133">
        <v>0.30234843134879757</v>
      </c>
      <c r="E203" s="133">
        <v>0.30234843134879757</v>
      </c>
      <c r="F203" s="133">
        <v>0.30234843134879757</v>
      </c>
      <c r="G203" s="133">
        <v>0.30234843134879757</v>
      </c>
      <c r="H203" s="133">
        <v>0.30234843134879757</v>
      </c>
      <c r="I203" s="133">
        <v>0.30234843134879757</v>
      </c>
      <c r="J203" s="133">
        <v>0.30234843134879802</v>
      </c>
      <c r="K203" s="149">
        <v>0.30234843134879802</v>
      </c>
    </row>
    <row r="204" spans="2:11">
      <c r="B204" s="196">
        <v>1992</v>
      </c>
      <c r="C204" s="133">
        <v>7.493727972380064E-2</v>
      </c>
      <c r="D204" s="133">
        <v>7.493727972380064E-2</v>
      </c>
      <c r="E204" s="133">
        <v>7.493727972380064E-2</v>
      </c>
      <c r="F204" s="133">
        <v>7.493727972380064E-2</v>
      </c>
      <c r="G204" s="133">
        <v>7.493727972380064E-2</v>
      </c>
      <c r="H204" s="133">
        <v>7.493727972380064E-2</v>
      </c>
      <c r="I204" s="133">
        <v>7.493727972380064E-2</v>
      </c>
      <c r="J204" s="133">
        <v>7.4937279723800598E-2</v>
      </c>
      <c r="K204" s="149">
        <v>7.4937279723800598E-2</v>
      </c>
    </row>
    <row r="205" spans="2:11">
      <c r="B205" s="196">
        <v>1993</v>
      </c>
      <c r="C205" s="133">
        <v>9.96705147919488E-2</v>
      </c>
      <c r="D205" s="133">
        <v>9.96705147919488E-2</v>
      </c>
      <c r="E205" s="133">
        <v>9.96705147919488E-2</v>
      </c>
      <c r="F205" s="133">
        <v>9.96705147919488E-2</v>
      </c>
      <c r="G205" s="133">
        <v>9.96705147919488E-2</v>
      </c>
      <c r="H205" s="133">
        <v>9.96705147919488E-2</v>
      </c>
      <c r="I205" s="133">
        <v>9.96705147919488E-2</v>
      </c>
      <c r="J205" s="133">
        <v>9.96705147919488E-2</v>
      </c>
      <c r="K205" s="149">
        <v>9.96705147919488E-2</v>
      </c>
    </row>
    <row r="206" spans="2:11">
      <c r="B206" s="196">
        <v>1994</v>
      </c>
      <c r="C206" s="133">
        <v>1.3259206774573897E-2</v>
      </c>
      <c r="D206" s="133">
        <v>1.3259206774573897E-2</v>
      </c>
      <c r="E206" s="133">
        <v>1.3259206774573897E-2</v>
      </c>
      <c r="F206" s="133">
        <v>1.3259206774573897E-2</v>
      </c>
      <c r="G206" s="133">
        <v>1.3259206774573897E-2</v>
      </c>
      <c r="H206" s="133">
        <v>1.3259206774573897E-2</v>
      </c>
      <c r="I206" s="133">
        <v>1.3259206774573897E-2</v>
      </c>
      <c r="J206" s="133">
        <v>1.3259206774573901E-2</v>
      </c>
      <c r="K206" s="149">
        <v>1.3259206774573901E-2</v>
      </c>
    </row>
    <row r="207" spans="2:11">
      <c r="B207" s="196">
        <v>1995</v>
      </c>
      <c r="C207" s="133">
        <v>0.37195198902606308</v>
      </c>
      <c r="D207" s="133">
        <v>0.37195198902606308</v>
      </c>
      <c r="E207" s="133">
        <v>0.37195198902606308</v>
      </c>
      <c r="F207" s="133">
        <v>0.37195198902606308</v>
      </c>
      <c r="G207" s="133">
        <v>0.37195198902606308</v>
      </c>
      <c r="H207" s="133">
        <v>0.37195198902606308</v>
      </c>
      <c r="I207" s="133">
        <v>0.37195198902606308</v>
      </c>
      <c r="J207" s="133">
        <v>0.37195198902606302</v>
      </c>
      <c r="K207" s="149">
        <v>0.37195198902606302</v>
      </c>
    </row>
    <row r="208" spans="2:11">
      <c r="B208" s="196">
        <v>1996</v>
      </c>
      <c r="C208" s="133">
        <v>0.22680966018865789</v>
      </c>
      <c r="D208" s="133">
        <v>0.22680966018865789</v>
      </c>
      <c r="E208" s="133">
        <v>0.22680966018865789</v>
      </c>
      <c r="F208" s="133">
        <v>0.22680966018865789</v>
      </c>
      <c r="G208" s="133">
        <v>0.22680966018865789</v>
      </c>
      <c r="H208" s="133">
        <v>0.22680966018865789</v>
      </c>
      <c r="I208" s="133">
        <v>0.22680966018865789</v>
      </c>
      <c r="J208" s="133">
        <v>0.226809660188658</v>
      </c>
      <c r="K208" s="149">
        <v>0.226809660188658</v>
      </c>
    </row>
    <row r="209" spans="2:11">
      <c r="B209" s="196">
        <v>1997</v>
      </c>
      <c r="C209" s="133">
        <v>0.33103653103653097</v>
      </c>
      <c r="D209" s="133">
        <v>0.33103653103653097</v>
      </c>
      <c r="E209" s="133">
        <v>0.33103653103653097</v>
      </c>
      <c r="F209" s="133">
        <v>0.33103653103653097</v>
      </c>
      <c r="G209" s="133">
        <v>0.33103653103653097</v>
      </c>
      <c r="H209" s="133">
        <v>0.33103653103653097</v>
      </c>
      <c r="I209" s="133">
        <v>0.33103653103653097</v>
      </c>
      <c r="J209" s="133">
        <v>0.33103653103653102</v>
      </c>
      <c r="K209" s="149">
        <v>0.33103653103653102</v>
      </c>
    </row>
    <row r="210" spans="2:11">
      <c r="B210" s="196">
        <v>1998</v>
      </c>
      <c r="C210" s="133">
        <v>0.28337953278443584</v>
      </c>
      <c r="D210" s="133">
        <v>0.28337953278443584</v>
      </c>
      <c r="E210" s="133">
        <v>0.28337953278443584</v>
      </c>
      <c r="F210" s="133">
        <v>0.28337953278443584</v>
      </c>
      <c r="G210" s="133">
        <v>0.28337953278443584</v>
      </c>
      <c r="H210" s="133">
        <v>0.28337953278443584</v>
      </c>
      <c r="I210" s="133">
        <v>0.28337953278443584</v>
      </c>
      <c r="J210" s="133">
        <v>0.28337953278443601</v>
      </c>
      <c r="K210" s="149">
        <v>0.28337953278443601</v>
      </c>
    </row>
    <row r="211" spans="2:11">
      <c r="B211" s="196">
        <v>1999</v>
      </c>
      <c r="C211" s="133">
        <v>0.20885350992084475</v>
      </c>
      <c r="D211" s="133">
        <v>0.20885350992084475</v>
      </c>
      <c r="E211" s="133">
        <v>0.20885350992084475</v>
      </c>
      <c r="F211" s="133">
        <v>0.20885350992084475</v>
      </c>
      <c r="G211" s="133">
        <v>0.20885350992084475</v>
      </c>
      <c r="H211" s="133">
        <v>0.20885350992084475</v>
      </c>
      <c r="I211" s="133">
        <v>0.20885350992084475</v>
      </c>
      <c r="J211" s="133">
        <v>0.208853509920845</v>
      </c>
      <c r="K211" s="149">
        <v>0.208853509920845</v>
      </c>
    </row>
    <row r="212" spans="2:11">
      <c r="B212" s="196">
        <v>2000</v>
      </c>
      <c r="C212" s="133">
        <v>-9.0318189552492781E-2</v>
      </c>
      <c r="D212" s="133">
        <v>-9.0318189552492781E-2</v>
      </c>
      <c r="E212" s="133">
        <v>-9.0318189552492781E-2</v>
      </c>
      <c r="F212" s="133">
        <v>-9.0318189552492781E-2</v>
      </c>
      <c r="G212" s="133">
        <v>-9.0318189552492781E-2</v>
      </c>
      <c r="H212" s="133">
        <v>-9.0318189552492781E-2</v>
      </c>
      <c r="I212" s="133">
        <v>-9.0318189552492781E-2</v>
      </c>
      <c r="J212" s="133">
        <v>-9.0318189552492795E-2</v>
      </c>
      <c r="K212" s="149">
        <v>-9.0318189552492795E-2</v>
      </c>
    </row>
    <row r="213" spans="2:11">
      <c r="B213" s="196">
        <v>2001</v>
      </c>
      <c r="C213" s="133">
        <v>-0.11849759142000185</v>
      </c>
      <c r="D213" s="133">
        <v>-0.11849759142000185</v>
      </c>
      <c r="E213" s="133">
        <v>-0.11849759142000185</v>
      </c>
      <c r="F213" s="133">
        <v>-0.11849759142000185</v>
      </c>
      <c r="G213" s="133">
        <v>-0.11849759142000185</v>
      </c>
      <c r="H213" s="133">
        <v>-0.11849759142000185</v>
      </c>
      <c r="I213" s="133">
        <v>-0.11849759142000185</v>
      </c>
      <c r="J213" s="133">
        <v>-0.118497591420002</v>
      </c>
      <c r="K213" s="149">
        <v>-0.118497591420002</v>
      </c>
    </row>
    <row r="214" spans="2:11">
      <c r="B214" s="196">
        <v>2002</v>
      </c>
      <c r="C214" s="133">
        <v>-0.21966047957912699</v>
      </c>
      <c r="D214" s="133">
        <v>-0.21966047957912699</v>
      </c>
      <c r="E214" s="133">
        <v>-0.21966047957912699</v>
      </c>
      <c r="F214" s="133">
        <v>-0.21966047957912699</v>
      </c>
      <c r="G214" s="133">
        <v>-0.21966047957912699</v>
      </c>
      <c r="H214" s="133">
        <v>-0.21966047957912699</v>
      </c>
      <c r="I214" s="133">
        <v>-0.21966047957912699</v>
      </c>
      <c r="J214" s="133">
        <v>-0.21966047957912699</v>
      </c>
      <c r="K214" s="149">
        <v>-0.21966047957912699</v>
      </c>
    </row>
    <row r="215" spans="2:11">
      <c r="B215" s="196">
        <v>2003</v>
      </c>
      <c r="C215" s="133">
        <v>0.28355800050010233</v>
      </c>
      <c r="D215" s="133">
        <v>0.28355800050010233</v>
      </c>
      <c r="E215" s="133">
        <v>0.28355800050010233</v>
      </c>
      <c r="F215" s="133">
        <v>0.28355800050010233</v>
      </c>
      <c r="G215" s="133">
        <v>0.28355800050010233</v>
      </c>
      <c r="H215" s="133">
        <v>0.28355800050010233</v>
      </c>
      <c r="I215" s="133">
        <v>0.28355800050010233</v>
      </c>
      <c r="J215" s="133">
        <v>0.28355800050010199</v>
      </c>
      <c r="K215" s="149">
        <v>0.28355800050010199</v>
      </c>
    </row>
    <row r="216" spans="2:11">
      <c r="B216" s="196">
        <v>2004</v>
      </c>
      <c r="C216" s="133">
        <v>0.10742775944096193</v>
      </c>
      <c r="D216" s="133">
        <v>0.10742775944096193</v>
      </c>
      <c r="E216" s="133">
        <v>0.10742775944096193</v>
      </c>
      <c r="F216" s="133">
        <v>0.10742775944096193</v>
      </c>
      <c r="G216" s="133">
        <v>0.10742775944096193</v>
      </c>
      <c r="H216" s="133">
        <v>0.10742775944096193</v>
      </c>
      <c r="I216" s="133">
        <v>0.10742775944096193</v>
      </c>
      <c r="J216" s="133">
        <v>0.107427759440962</v>
      </c>
      <c r="K216" s="149">
        <v>0.107427759440962</v>
      </c>
    </row>
    <row r="217" spans="2:11">
      <c r="B217" s="196">
        <v>2005</v>
      </c>
      <c r="C217" s="133">
        <v>4.8344775232688535E-2</v>
      </c>
      <c r="D217" s="133">
        <v>4.8344775232688535E-2</v>
      </c>
      <c r="E217" s="133">
        <v>4.8344775232688535E-2</v>
      </c>
      <c r="F217" s="133">
        <v>4.8344775232688535E-2</v>
      </c>
      <c r="G217" s="133">
        <v>4.8344775232688535E-2</v>
      </c>
      <c r="H217" s="133">
        <v>4.8344775232688535E-2</v>
      </c>
      <c r="I217" s="133">
        <v>4.8344775232688535E-2</v>
      </c>
      <c r="J217" s="133">
        <v>4.83447752326885E-2</v>
      </c>
      <c r="K217" s="149">
        <v>4.83447752326885E-2</v>
      </c>
    </row>
    <row r="218" spans="2:11">
      <c r="B218" s="196">
        <v>2006</v>
      </c>
      <c r="C218" s="133">
        <v>0.15612557979315703</v>
      </c>
      <c r="D218" s="133">
        <v>0.15612557979315703</v>
      </c>
      <c r="E218" s="133">
        <v>0.15612557979315703</v>
      </c>
      <c r="F218" s="133">
        <v>0.15612557979315703</v>
      </c>
      <c r="G218" s="133">
        <v>0.15612557979315703</v>
      </c>
      <c r="H218" s="133">
        <v>0.15612557979315703</v>
      </c>
      <c r="I218" s="133">
        <v>0.15612557979315703</v>
      </c>
      <c r="J218" s="133">
        <v>0.156125579793157</v>
      </c>
      <c r="K218" s="149">
        <v>0.156125579793157</v>
      </c>
    </row>
    <row r="219" spans="2:11">
      <c r="B219" s="196">
        <v>2007</v>
      </c>
      <c r="C219" s="133">
        <v>5.4847352464217694E-2</v>
      </c>
      <c r="D219" s="133">
        <v>5.4847352464217694E-2</v>
      </c>
      <c r="E219" s="133">
        <v>5.4847352464217694E-2</v>
      </c>
      <c r="F219" s="133">
        <v>5.4847352464217694E-2</v>
      </c>
      <c r="G219" s="133">
        <v>5.4847352464217694E-2</v>
      </c>
      <c r="H219" s="133">
        <v>5.4847352464217694E-2</v>
      </c>
      <c r="I219" s="133">
        <v>5.4847352464217694E-2</v>
      </c>
      <c r="J219" s="133">
        <v>5.4847352464217701E-2</v>
      </c>
      <c r="K219" s="149">
        <v>5.4847352464217701E-2</v>
      </c>
    </row>
    <row r="220" spans="2:11">
      <c r="B220" s="196">
        <v>2008</v>
      </c>
      <c r="C220" s="133">
        <v>-0.36552344111798191</v>
      </c>
      <c r="D220" s="133">
        <v>-0.36552344111798191</v>
      </c>
      <c r="E220" s="133">
        <v>-0.36552344111798191</v>
      </c>
      <c r="F220" s="133">
        <v>-0.36552344111798191</v>
      </c>
      <c r="G220" s="133">
        <v>-0.36552344111798191</v>
      </c>
      <c r="H220" s="133">
        <v>-0.36552344111798191</v>
      </c>
      <c r="I220" s="133">
        <v>-0.36552344111798191</v>
      </c>
      <c r="J220" s="133">
        <v>-0.36552344111798202</v>
      </c>
      <c r="K220" s="149">
        <v>-0.36552344111798202</v>
      </c>
    </row>
    <row r="221" spans="2:11">
      <c r="B221" s="196">
        <v>2009</v>
      </c>
      <c r="C221" s="133">
        <v>0.25935233877663982</v>
      </c>
      <c r="D221" s="133">
        <v>0.25935233877663982</v>
      </c>
      <c r="E221" s="133">
        <v>0.25935233877663982</v>
      </c>
      <c r="F221" s="133">
        <v>0.25935233877663982</v>
      </c>
      <c r="G221" s="133">
        <v>0.25935233877663982</v>
      </c>
      <c r="H221" s="133">
        <v>0.25935233877663982</v>
      </c>
      <c r="I221" s="133">
        <v>0.25935233877663982</v>
      </c>
      <c r="J221" s="133">
        <v>0.25935233877663999</v>
      </c>
      <c r="K221" s="149">
        <v>0.25935233877663999</v>
      </c>
    </row>
    <row r="222" spans="2:11">
      <c r="B222" s="196">
        <v>2010</v>
      </c>
      <c r="C222" s="133">
        <v>0.14821092278719414</v>
      </c>
      <c r="D222" s="133">
        <v>0.14821092278719414</v>
      </c>
      <c r="E222" s="133">
        <v>0.14821092278719414</v>
      </c>
      <c r="F222" s="133">
        <v>0.14821092278719414</v>
      </c>
      <c r="G222" s="133">
        <v>0.14821092278719414</v>
      </c>
      <c r="H222" s="133">
        <v>0.14821092278719414</v>
      </c>
      <c r="I222" s="133">
        <v>0.14821092278719414</v>
      </c>
      <c r="J222" s="133">
        <v>0.148210922787194</v>
      </c>
      <c r="K222" s="149">
        <v>0.148210922787194</v>
      </c>
    </row>
    <row r="223" spans="2:11">
      <c r="B223" s="196">
        <v>2011</v>
      </c>
      <c r="C223" s="133">
        <v>2.09837473362805E-2</v>
      </c>
      <c r="D223" s="133">
        <v>2.09837473362805E-2</v>
      </c>
      <c r="E223" s="133">
        <v>2.09837473362805E-2</v>
      </c>
      <c r="F223" s="133">
        <v>2.09837473362805E-2</v>
      </c>
      <c r="G223" s="133">
        <v>2.09837473362805E-2</v>
      </c>
      <c r="H223" s="133">
        <v>2.09837473362805E-2</v>
      </c>
      <c r="I223" s="133">
        <v>2.09837473362805E-2</v>
      </c>
      <c r="J223" s="133">
        <v>2.09837473362805E-2</v>
      </c>
      <c r="K223" s="149">
        <v>2.09837473362805E-2</v>
      </c>
    </row>
    <row r="224" spans="2:11">
      <c r="B224" s="196">
        <v>2012</v>
      </c>
      <c r="C224" s="133">
        <v>0.15890585241730293</v>
      </c>
      <c r="D224" s="133">
        <v>0.15890585241730293</v>
      </c>
      <c r="E224" s="133">
        <v>0.15890585241730293</v>
      </c>
      <c r="F224" s="133">
        <v>0.15890585241730293</v>
      </c>
      <c r="G224" s="133">
        <v>0.15890585241730293</v>
      </c>
      <c r="H224" s="133">
        <v>0.15890585241730293</v>
      </c>
      <c r="I224" s="133">
        <v>0.15890585241730293</v>
      </c>
      <c r="J224" s="133">
        <v>0.15890585241730301</v>
      </c>
      <c r="K224" s="149">
        <v>0.15890585241730301</v>
      </c>
    </row>
    <row r="225" spans="2:11">
      <c r="B225" s="196">
        <v>2013</v>
      </c>
      <c r="C225" s="133">
        <v>0.32145085858125483</v>
      </c>
      <c r="D225" s="133">
        <v>0.32145085858125483</v>
      </c>
      <c r="E225" s="133">
        <v>0.32145085858125483</v>
      </c>
      <c r="F225" s="133">
        <v>0.32145085858125483</v>
      </c>
      <c r="G225" s="133">
        <v>0.32145085858125483</v>
      </c>
      <c r="H225" s="133">
        <v>0.32145085858125483</v>
      </c>
      <c r="I225" s="133">
        <v>0.32145085858125483</v>
      </c>
      <c r="J225" s="133">
        <v>0.32145085858125499</v>
      </c>
      <c r="K225" s="149">
        <v>0.32145085858125499</v>
      </c>
    </row>
    <row r="226" spans="2:11">
      <c r="B226" s="196">
        <v>2014</v>
      </c>
      <c r="C226" s="133">
        <v>0.13524421649462237</v>
      </c>
      <c r="D226" s="133">
        <v>0.13524421649462237</v>
      </c>
      <c r="E226" s="133">
        <v>0.13524421649462237</v>
      </c>
      <c r="F226" s="133">
        <v>0.13524421649462237</v>
      </c>
      <c r="G226" s="133">
        <v>0.13524421649462237</v>
      </c>
      <c r="H226" s="133">
        <v>0.13524421649462237</v>
      </c>
      <c r="I226" s="133">
        <v>0.13524421649462237</v>
      </c>
      <c r="J226" s="133">
        <v>0.13524421649462201</v>
      </c>
      <c r="K226" s="149">
        <v>0.13524421649462201</v>
      </c>
    </row>
    <row r="227" spans="2:11">
      <c r="B227" s="196">
        <v>2015</v>
      </c>
      <c r="C227" s="133">
        <v>1.3788916411676138E-2</v>
      </c>
      <c r="D227" s="133">
        <v>1.3788916411676138E-2</v>
      </c>
      <c r="E227" s="133">
        <v>1.3788916411676138E-2</v>
      </c>
      <c r="F227" s="133">
        <v>1.3788916411676138E-2</v>
      </c>
      <c r="G227" s="133">
        <v>1.3788916411676138E-2</v>
      </c>
      <c r="H227" s="133">
        <v>1.3788916411676138E-2</v>
      </c>
      <c r="I227" s="133">
        <v>1.3788916411676138E-2</v>
      </c>
      <c r="J227" s="133">
        <v>1.3788916411676099E-2</v>
      </c>
      <c r="K227" s="149">
        <v>1.3788916411676099E-2</v>
      </c>
    </row>
    <row r="228" spans="2:11">
      <c r="B228" s="196">
        <v>2016</v>
      </c>
      <c r="C228" s="197"/>
      <c r="D228" s="133">
        <v>0.11773080874798171</v>
      </c>
      <c r="E228" s="133">
        <v>0.11773080874798171</v>
      </c>
      <c r="F228" s="133">
        <v>0.11773080874798171</v>
      </c>
      <c r="G228" s="133">
        <v>0.11773080874798171</v>
      </c>
      <c r="H228" s="133">
        <v>0.11773080874798171</v>
      </c>
      <c r="I228" s="133">
        <v>0.11773080874798171</v>
      </c>
      <c r="J228" s="133">
        <v>0.117730808747982</v>
      </c>
      <c r="K228" s="149">
        <v>0.117730808747982</v>
      </c>
    </row>
    <row r="229" spans="2:11">
      <c r="B229" s="196">
        <v>2017</v>
      </c>
      <c r="C229" s="197"/>
      <c r="D229" s="197"/>
      <c r="E229" s="133">
        <v>0.2160548143449928</v>
      </c>
      <c r="F229" s="133">
        <v>0.2160548143449928</v>
      </c>
      <c r="G229" s="133">
        <v>0.2160548143449928</v>
      </c>
      <c r="H229" s="133">
        <v>0.2160548143449928</v>
      </c>
      <c r="I229" s="133">
        <v>0.2160548143449928</v>
      </c>
      <c r="J229" s="133">
        <v>0.21605481434499299</v>
      </c>
      <c r="K229" s="149">
        <v>0.21605481434499299</v>
      </c>
    </row>
    <row r="230" spans="2:11">
      <c r="B230" s="196">
        <v>2018</v>
      </c>
      <c r="C230" s="197"/>
      <c r="D230" s="197"/>
      <c r="E230" s="197"/>
      <c r="F230" s="133">
        <v>-4.2321056549010597E-2</v>
      </c>
      <c r="G230" s="133">
        <v>-4.2321056549010597E-2</v>
      </c>
      <c r="H230" s="133">
        <v>-4.2321056549010597E-2</v>
      </c>
      <c r="I230" s="133">
        <v>-4.2321056549010597E-2</v>
      </c>
      <c r="J230" s="133">
        <v>-4.2321056549010597E-2</v>
      </c>
      <c r="K230" s="149">
        <v>-4.2321056549010597E-2</v>
      </c>
    </row>
    <row r="231" spans="2:11">
      <c r="B231" s="196">
        <v>2019</v>
      </c>
      <c r="C231" s="197"/>
      <c r="D231" s="197"/>
      <c r="E231" s="197"/>
      <c r="F231" s="197"/>
      <c r="G231" s="133">
        <v>0.31211679996808755</v>
      </c>
      <c r="H231" s="133">
        <v>0.31211679996808755</v>
      </c>
      <c r="I231" s="133">
        <v>0.31211679996808755</v>
      </c>
      <c r="J231" s="133">
        <v>0.31211679996808755</v>
      </c>
      <c r="K231" s="149">
        <v>0.31211679996808755</v>
      </c>
    </row>
    <row r="232" spans="2:11">
      <c r="B232" s="196">
        <v>2020</v>
      </c>
      <c r="C232" s="197"/>
      <c r="D232" s="197"/>
      <c r="E232" s="197"/>
      <c r="F232" s="197"/>
      <c r="G232" s="197"/>
      <c r="H232" s="133">
        <v>0.18023201827422478</v>
      </c>
      <c r="I232" s="133">
        <v>0.18023201827422478</v>
      </c>
      <c r="J232" s="133">
        <v>0.18023201827422478</v>
      </c>
      <c r="K232" s="149">
        <v>0.18023201827422478</v>
      </c>
    </row>
    <row r="233" spans="2:11">
      <c r="B233" s="196">
        <v>2021</v>
      </c>
      <c r="C233" s="197"/>
      <c r="D233" s="197"/>
      <c r="E233" s="197"/>
      <c r="F233" s="197"/>
      <c r="G233" s="197"/>
      <c r="H233" s="197"/>
      <c r="I233" s="133">
        <v>0.28468851751964158</v>
      </c>
      <c r="J233" s="133">
        <v>0.28468851751964158</v>
      </c>
      <c r="K233" s="149">
        <v>0.28468851751964158</v>
      </c>
    </row>
    <row r="234" spans="2:11">
      <c r="B234" s="196">
        <v>2022</v>
      </c>
      <c r="C234" s="197"/>
      <c r="D234" s="197"/>
      <c r="E234" s="197"/>
      <c r="F234" s="197"/>
      <c r="G234" s="197"/>
      <c r="H234" s="197"/>
      <c r="I234" s="197"/>
      <c r="J234" s="133">
        <v>-0.18008971545346592</v>
      </c>
      <c r="K234" s="149">
        <v>-0.18008971545346592</v>
      </c>
    </row>
    <row r="235" spans="2:11">
      <c r="B235" s="196">
        <v>2023</v>
      </c>
      <c r="C235" s="197"/>
      <c r="D235" s="197"/>
      <c r="E235" s="197"/>
      <c r="F235" s="197"/>
      <c r="G235" s="197"/>
      <c r="H235" s="197"/>
      <c r="I235" s="197"/>
      <c r="J235" s="197"/>
      <c r="K235" s="149">
        <v>0.26060684985024096</v>
      </c>
    </row>
    <row r="236" spans="2:11" ht="15" thickBot="1">
      <c r="B236" s="198" t="s">
        <v>127</v>
      </c>
      <c r="C236" s="199">
        <f>+AVERAGE(C140:C230)</f>
        <v>0.11412215098966327</v>
      </c>
      <c r="D236" s="199">
        <f>+AVERAGE(D140:D230)</f>
        <v>0.11416269770604888</v>
      </c>
      <c r="E236" s="199">
        <f>+AVERAGE(E140:E229)</f>
        <v>0.11529483233537048</v>
      </c>
      <c r="F236" s="199">
        <f>+AVERAGE(F140:F230)</f>
        <v>0.11356278960037729</v>
      </c>
      <c r="G236" s="199">
        <f>+AVERAGE(G140:G231)</f>
        <v>0.11572098536524371</v>
      </c>
      <c r="H236" s="199">
        <f>+AVERAGE(H140:H232)</f>
        <v>0.11641465238577038</v>
      </c>
      <c r="I236" s="199">
        <f>+AVERAGE(I140:I233)</f>
        <v>0.11820479988719455</v>
      </c>
      <c r="J236" s="199">
        <f>+AVERAGE(J140:J234)</f>
        <v>0.11506485762045068</v>
      </c>
      <c r="K236" s="200">
        <f>+AVERAGE(K140:K235)</f>
        <v>0.116580920039511</v>
      </c>
    </row>
    <row r="237" spans="2:11">
      <c r="B237" s="3" t="s">
        <v>128</v>
      </c>
    </row>
    <row r="238" spans="2:11"/>
    <row r="239" spans="2:11"/>
    <row r="240" spans="2:11">
      <c r="B240" s="50" t="s">
        <v>131</v>
      </c>
    </row>
    <row r="241" spans="2:14" ht="15" thickBot="1"/>
    <row r="242" spans="2:14">
      <c r="B242" s="136" t="s">
        <v>132</v>
      </c>
      <c r="C242" s="156">
        <v>2015</v>
      </c>
      <c r="D242" s="156">
        <v>2016</v>
      </c>
      <c r="E242" s="156">
        <v>2017</v>
      </c>
      <c r="F242" s="156">
        <v>2018</v>
      </c>
      <c r="G242" s="156">
        <v>2019</v>
      </c>
      <c r="H242" s="156">
        <v>2020</v>
      </c>
      <c r="I242" s="156">
        <v>2021</v>
      </c>
      <c r="J242" s="156">
        <v>2022</v>
      </c>
      <c r="K242" s="157">
        <v>2023</v>
      </c>
    </row>
    <row r="243" spans="2:14">
      <c r="B243" s="189" t="s">
        <v>133</v>
      </c>
      <c r="C243" s="134">
        <v>201.8</v>
      </c>
      <c r="D243" s="134">
        <v>266.31578947368399</v>
      </c>
      <c r="E243" s="134">
        <v>157.30000000000001</v>
      </c>
      <c r="F243" s="134">
        <v>121.57692307692299</v>
      </c>
      <c r="G243" s="190">
        <v>152.39130434782609</v>
      </c>
      <c r="H243" s="190">
        <v>113.8695652173913</v>
      </c>
      <c r="I243" s="190">
        <v>131.61904761904762</v>
      </c>
      <c r="J243" s="190">
        <v>176.76190476190476</v>
      </c>
      <c r="K243" s="191">
        <v>207.04545454545499</v>
      </c>
    </row>
    <row r="244" spans="2:14">
      <c r="B244" s="189" t="s">
        <v>134</v>
      </c>
      <c r="C244" s="134">
        <v>182.842105263158</v>
      </c>
      <c r="D244" s="134">
        <v>281.7</v>
      </c>
      <c r="E244" s="134">
        <v>152.105263157895</v>
      </c>
      <c r="F244" s="134">
        <v>132.105263157895</v>
      </c>
      <c r="G244" s="190">
        <v>139.5</v>
      </c>
      <c r="H244" s="190">
        <v>122.2</v>
      </c>
      <c r="I244" s="190">
        <v>138.1</v>
      </c>
      <c r="J244" s="190">
        <v>197.75</v>
      </c>
      <c r="K244" s="191">
        <v>192.3</v>
      </c>
    </row>
    <row r="245" spans="2:14">
      <c r="B245" s="189" t="s">
        <v>135</v>
      </c>
      <c r="C245" s="134">
        <v>184.45454545454501</v>
      </c>
      <c r="D245" s="134">
        <v>226.90909090909099</v>
      </c>
      <c r="E245" s="134">
        <v>141.08695652173901</v>
      </c>
      <c r="F245" s="134">
        <v>145.461538461538</v>
      </c>
      <c r="G245" s="190">
        <v>135.66666666666666</v>
      </c>
      <c r="H245" s="190">
        <v>248.90909090909091</v>
      </c>
      <c r="I245" s="190">
        <v>165.08695652173913</v>
      </c>
      <c r="J245" s="190">
        <v>200.7391304347826</v>
      </c>
      <c r="K245" s="191">
        <v>203.826086956522</v>
      </c>
    </row>
    <row r="246" spans="2:14">
      <c r="B246" s="189" t="s">
        <v>136</v>
      </c>
      <c r="C246" s="134">
        <v>176.95454545454501</v>
      </c>
      <c r="D246" s="134">
        <v>210.04761904761901</v>
      </c>
      <c r="E246" s="134">
        <v>149.157894736842</v>
      </c>
      <c r="F246" s="134">
        <v>145.23809523809501</v>
      </c>
      <c r="G246" s="190">
        <v>122.36363636363636</v>
      </c>
      <c r="H246" s="190">
        <v>277.95454545454544</v>
      </c>
      <c r="I246" s="190">
        <v>164.5</v>
      </c>
      <c r="J246" s="190">
        <v>186.66666666666666</v>
      </c>
      <c r="K246" s="191">
        <v>201.9</v>
      </c>
    </row>
    <row r="247" spans="2:14">
      <c r="B247" s="189" t="s">
        <v>137</v>
      </c>
      <c r="C247" s="134">
        <v>165.9</v>
      </c>
      <c r="D247" s="134">
        <v>207.90476190476201</v>
      </c>
      <c r="E247" s="134">
        <v>141.18181818181799</v>
      </c>
      <c r="F247" s="134">
        <v>157.59090909090901</v>
      </c>
      <c r="G247" s="190">
        <v>135.69565217391303</v>
      </c>
      <c r="H247" s="190">
        <v>222.35</v>
      </c>
      <c r="I247" s="190">
        <v>163.57142857142858</v>
      </c>
      <c r="J247" s="190">
        <v>217.54545454545453</v>
      </c>
      <c r="K247" s="191">
        <v>197.39130434782601</v>
      </c>
    </row>
    <row r="248" spans="2:14">
      <c r="B248" s="189" t="s">
        <v>138</v>
      </c>
      <c r="C248" s="134">
        <v>176.5</v>
      </c>
      <c r="D248" s="134">
        <v>209.90909090909099</v>
      </c>
      <c r="E248" s="134">
        <v>143.5</v>
      </c>
      <c r="F248" s="134">
        <v>163.333333333333</v>
      </c>
      <c r="G248" s="190">
        <v>129.15</v>
      </c>
      <c r="H248" s="190">
        <v>180.13636363636363</v>
      </c>
      <c r="I248" s="190">
        <v>169.22727272727272</v>
      </c>
      <c r="J248" s="190">
        <v>213.54545454545453</v>
      </c>
      <c r="K248" s="191">
        <v>181.09090909090901</v>
      </c>
    </row>
    <row r="249" spans="2:14">
      <c r="B249" s="189" t="s">
        <v>139</v>
      </c>
      <c r="C249" s="134">
        <v>187.31818181818201</v>
      </c>
      <c r="D249" s="134">
        <v>183.75</v>
      </c>
      <c r="E249" s="134">
        <v>141.9</v>
      </c>
      <c r="F249" s="134">
        <v>150.23809523809501</v>
      </c>
      <c r="G249" s="190">
        <v>116.1304347826087</v>
      </c>
      <c r="H249" s="190">
        <v>169.34782608695653</v>
      </c>
      <c r="I249" s="190">
        <v>170</v>
      </c>
      <c r="J249" s="190">
        <v>235.42857142857142</v>
      </c>
      <c r="K249" s="191">
        <v>168.90476190476201</v>
      </c>
      <c r="N249" s="107"/>
    </row>
    <row r="250" spans="2:14">
      <c r="B250" s="189" t="s">
        <v>140</v>
      </c>
      <c r="C250" s="134">
        <v>217.47619047619</v>
      </c>
      <c r="D250" s="134">
        <v>169.60869565217399</v>
      </c>
      <c r="E250" s="134">
        <v>156.03571428571399</v>
      </c>
      <c r="F250" s="134">
        <v>149.26086956521701</v>
      </c>
      <c r="G250" s="190">
        <v>127.09090909090909</v>
      </c>
      <c r="H250" s="190">
        <v>145.63636363636363</v>
      </c>
      <c r="I250" s="190">
        <v>183</v>
      </c>
      <c r="J250" s="190">
        <v>211</v>
      </c>
      <c r="K250" s="191">
        <v>167.227272727273</v>
      </c>
      <c r="N250" s="107"/>
    </row>
    <row r="251" spans="2:14">
      <c r="B251" s="189" t="s">
        <v>141</v>
      </c>
      <c r="C251" s="134">
        <v>234.04761904761901</v>
      </c>
      <c r="D251" s="134">
        <v>161.857142857143</v>
      </c>
      <c r="E251" s="134">
        <v>144</v>
      </c>
      <c r="F251" s="134">
        <v>139.52631579999999</v>
      </c>
      <c r="G251" s="190">
        <v>116.42857142857143</v>
      </c>
      <c r="H251" s="190">
        <v>160.40909090909091</v>
      </c>
      <c r="I251" s="190">
        <v>174</v>
      </c>
      <c r="J251" s="190">
        <v>225.27345454545454</v>
      </c>
      <c r="K251" s="191">
        <v>169.09523809523799</v>
      </c>
      <c r="N251" s="107"/>
    </row>
    <row r="252" spans="2:14">
      <c r="B252" s="189" t="s">
        <v>142</v>
      </c>
      <c r="C252" s="134">
        <v>226.09523809523799</v>
      </c>
      <c r="D252" s="134">
        <v>146.6</v>
      </c>
      <c r="E252" s="134">
        <v>139.61904761904799</v>
      </c>
      <c r="F252" s="134">
        <v>143.31818181818201</v>
      </c>
      <c r="G252" s="190">
        <v>126.91304347826087</v>
      </c>
      <c r="H252" s="190">
        <v>150.18181818181819</v>
      </c>
      <c r="I252" s="190">
        <v>171.61904761904762</v>
      </c>
      <c r="J252" s="190">
        <v>242.58709523809523</v>
      </c>
      <c r="K252" s="191">
        <v>179.95454545454501</v>
      </c>
      <c r="N252" s="107"/>
    </row>
    <row r="253" spans="2:14">
      <c r="B253" s="189" t="s">
        <v>143</v>
      </c>
      <c r="C253" s="134">
        <v>218.73684210526301</v>
      </c>
      <c r="D253" s="134">
        <v>167.65</v>
      </c>
      <c r="E253" s="134">
        <v>138.80952380952399</v>
      </c>
      <c r="F253" s="134">
        <v>156.9</v>
      </c>
      <c r="G253" s="190">
        <v>126.76190476190476</v>
      </c>
      <c r="H253" s="190">
        <v>147</v>
      </c>
      <c r="I253" s="190">
        <v>179.363636363636</v>
      </c>
      <c r="J253" s="190">
        <v>203.40690909090907</v>
      </c>
      <c r="K253" s="191">
        <v>175.18181818181799</v>
      </c>
      <c r="N253" s="107"/>
    </row>
    <row r="254" spans="2:14">
      <c r="B254" s="189" t="s">
        <v>144</v>
      </c>
      <c r="C254" s="134">
        <v>236.40909090909099</v>
      </c>
      <c r="D254" s="134">
        <v>164.80952380952399</v>
      </c>
      <c r="E254" s="134">
        <v>136.15</v>
      </c>
      <c r="F254" s="134">
        <v>162.947368421053</v>
      </c>
      <c r="G254" s="190">
        <v>115.90909090909091</v>
      </c>
      <c r="H254" s="190">
        <v>143.30434782608697</v>
      </c>
      <c r="I254" s="190">
        <v>174.30434782608697</v>
      </c>
      <c r="J254" s="190">
        <v>195.5</v>
      </c>
      <c r="K254" s="191">
        <v>162.42857142857099</v>
      </c>
      <c r="N254" s="107"/>
    </row>
    <row r="255" spans="2:14" ht="15" thickBot="1">
      <c r="B255" s="192" t="s">
        <v>145</v>
      </c>
      <c r="C255" s="193">
        <f t="shared" ref="C255:J255" si="26">+AVERAGE(C243:C254)/10000</f>
        <v>2.0071119655198592E-2</v>
      </c>
      <c r="D255" s="193">
        <f t="shared" si="26"/>
        <v>1.9975514288025728E-2</v>
      </c>
      <c r="E255" s="193">
        <f t="shared" si="26"/>
        <v>1.4507051819271501E-2</v>
      </c>
      <c r="F255" s="193">
        <f t="shared" si="26"/>
        <v>1.4729140776676999E-2</v>
      </c>
      <c r="G255" s="193">
        <f t="shared" si="26"/>
        <v>1.2866676783361567E-2</v>
      </c>
      <c r="H255" s="193">
        <f t="shared" si="26"/>
        <v>1.7344158432147559E-2</v>
      </c>
      <c r="I255" s="193">
        <f t="shared" si="26"/>
        <v>1.6536597810402155E-2</v>
      </c>
      <c r="J255" s="193">
        <f t="shared" si="26"/>
        <v>2.0885038677144113E-2</v>
      </c>
      <c r="K255" s="194">
        <f t="shared" ref="K255" si="27">+AVERAGE(K243:K254)/10000</f>
        <v>1.8386216356107658E-2</v>
      </c>
      <c r="N255" s="107"/>
    </row>
    <row r="256" spans="2:14"/>
    <row r="257" spans="2:11"/>
    <row r="258" spans="2:11">
      <c r="B258" s="50" t="s">
        <v>146</v>
      </c>
    </row>
    <row r="259" spans="2:11" ht="15" thickBot="1"/>
    <row r="260" spans="2:11">
      <c r="B260" s="173" t="s">
        <v>147</v>
      </c>
      <c r="C260" s="156">
        <v>2015</v>
      </c>
      <c r="D260" s="156">
        <v>2016</v>
      </c>
      <c r="E260" s="156">
        <v>2017</v>
      </c>
      <c r="F260" s="156">
        <v>2018</v>
      </c>
      <c r="G260" s="156">
        <v>2019</v>
      </c>
      <c r="H260" s="156">
        <v>2020</v>
      </c>
      <c r="I260" s="156">
        <v>2021</v>
      </c>
      <c r="J260" s="156">
        <v>2022</v>
      </c>
      <c r="K260" s="157">
        <v>2023</v>
      </c>
    </row>
    <row r="261" spans="2:11">
      <c r="B261" s="183" t="s">
        <v>265</v>
      </c>
      <c r="C261" s="545">
        <v>0.21099999999999999</v>
      </c>
      <c r="D261" s="545">
        <v>0.54500000000000004</v>
      </c>
      <c r="E261" s="545">
        <v>0.94</v>
      </c>
      <c r="F261" s="545">
        <v>0.434</v>
      </c>
      <c r="G261" s="545">
        <v>0.47499999999999998</v>
      </c>
      <c r="H261" s="545">
        <v>0.441</v>
      </c>
      <c r="I261" s="545">
        <v>0.41</v>
      </c>
      <c r="J261" s="545">
        <v>0.44400000000000001</v>
      </c>
      <c r="K261" s="546">
        <v>0.48799999999999999</v>
      </c>
    </row>
    <row r="262" spans="2:11">
      <c r="B262" s="175" t="s">
        <v>266</v>
      </c>
      <c r="C262" s="547">
        <v>0.63200000000000001</v>
      </c>
      <c r="D262" s="547">
        <v>0.77100000000000002</v>
      </c>
      <c r="E262" s="547">
        <v>0.69599999999999995</v>
      </c>
      <c r="F262" s="547">
        <v>0.624</v>
      </c>
      <c r="G262" s="547">
        <v>0.66200000000000003</v>
      </c>
      <c r="H262" s="547">
        <v>0.80100000000000005</v>
      </c>
      <c r="I262" s="547">
        <v>0.84499999999999997</v>
      </c>
      <c r="J262" s="547">
        <v>0.81100000000000005</v>
      </c>
      <c r="K262" s="548">
        <v>0.76800000000000002</v>
      </c>
    </row>
    <row r="263" spans="2:11">
      <c r="B263" s="175" t="s">
        <v>267</v>
      </c>
      <c r="C263" s="547">
        <v>0.45800000000000002</v>
      </c>
      <c r="D263" s="547">
        <v>0.71499999999999997</v>
      </c>
      <c r="E263" s="547">
        <v>1</v>
      </c>
      <c r="F263" s="547">
        <v>0.68400000000000005</v>
      </c>
      <c r="G263" s="547">
        <v>0.71299999999999997</v>
      </c>
      <c r="H263" s="547">
        <v>0.85099999999999998</v>
      </c>
      <c r="I263" s="547">
        <v>0.83799999999999997</v>
      </c>
      <c r="J263" s="547">
        <v>0.61199999999999999</v>
      </c>
      <c r="K263" s="548">
        <v>0.63100000000000001</v>
      </c>
    </row>
    <row r="264" spans="2:11">
      <c r="B264" s="175" t="s">
        <v>268</v>
      </c>
      <c r="C264" s="549">
        <v>0.36</v>
      </c>
      <c r="D264" s="549">
        <v>0.56200000000000006</v>
      </c>
      <c r="E264" s="549">
        <v>0.113</v>
      </c>
      <c r="F264" s="549">
        <v>0.75900000000000001</v>
      </c>
      <c r="G264" s="549">
        <v>0.82599999999999996</v>
      </c>
      <c r="H264" s="549">
        <v>0.63200000000000001</v>
      </c>
      <c r="I264" s="549">
        <v>0.61399999999999999</v>
      </c>
      <c r="J264" s="549">
        <v>0.46800000000000003</v>
      </c>
      <c r="K264" s="550">
        <v>0.47699999999999998</v>
      </c>
    </row>
    <row r="265" spans="2:11">
      <c r="B265" s="175" t="s">
        <v>269</v>
      </c>
      <c r="C265" s="549">
        <v>0.47199999999999998</v>
      </c>
      <c r="D265" s="549">
        <v>0.41399999999999998</v>
      </c>
      <c r="E265" s="549">
        <v>0.48299999999999998</v>
      </c>
      <c r="F265" s="549">
        <v>0.65900000000000003</v>
      </c>
      <c r="G265" s="549">
        <v>0.66200000000000003</v>
      </c>
      <c r="H265" s="549">
        <v>0.83199999999999996</v>
      </c>
      <c r="I265" s="549">
        <v>0.79600000000000004</v>
      </c>
      <c r="J265" s="549">
        <v>0.53300000000000003</v>
      </c>
      <c r="K265" s="550">
        <v>0.58699999999999997</v>
      </c>
    </row>
    <row r="266" spans="2:11">
      <c r="B266" s="175" t="s">
        <v>270</v>
      </c>
      <c r="C266" s="547">
        <v>0.70599999999999996</v>
      </c>
      <c r="D266" s="547">
        <v>0.71799999999999997</v>
      </c>
      <c r="E266" s="547">
        <v>0.42899999999999999</v>
      </c>
      <c r="F266" s="547">
        <v>0.50800000000000001</v>
      </c>
      <c r="G266" s="547">
        <v>0.40899999999999997</v>
      </c>
      <c r="H266" s="547">
        <v>0.48</v>
      </c>
      <c r="I266" s="547">
        <v>0.53700000000000003</v>
      </c>
      <c r="J266" s="547">
        <v>0.42499999999999999</v>
      </c>
      <c r="K266" s="548">
        <v>0.45300000000000001</v>
      </c>
    </row>
    <row r="267" spans="2:11">
      <c r="B267" s="175" t="s">
        <v>271</v>
      </c>
      <c r="C267" s="547">
        <v>1.105</v>
      </c>
      <c r="D267" s="547">
        <v>1.012</v>
      </c>
      <c r="E267" s="547">
        <v>0.82399999999999995</v>
      </c>
      <c r="F267" s="547">
        <v>0.66800000000000004</v>
      </c>
      <c r="G267" s="547">
        <v>0.63100000000000001</v>
      </c>
      <c r="H267" s="547">
        <v>0.68899999999999995</v>
      </c>
      <c r="I267" s="547">
        <v>0.71099999999999997</v>
      </c>
      <c r="J267" s="547">
        <v>0.67800000000000005</v>
      </c>
      <c r="K267" s="548">
        <v>0.67700000000000005</v>
      </c>
    </row>
    <row r="268" spans="2:11" ht="15" thickBot="1">
      <c r="B268" s="185" t="s">
        <v>406</v>
      </c>
      <c r="C268" s="551">
        <v>0.501</v>
      </c>
      <c r="D268" s="551">
        <v>0.625</v>
      </c>
      <c r="E268" s="551">
        <v>0.629</v>
      </c>
      <c r="F268" s="551">
        <v>0.59699999999999998</v>
      </c>
      <c r="G268" s="551">
        <v>0.54900000000000004</v>
      </c>
      <c r="H268" s="551">
        <v>0.68400000000000005</v>
      </c>
      <c r="I268" s="551">
        <v>0.69099999999999995</v>
      </c>
      <c r="J268" s="551">
        <v>0.56699999999999995</v>
      </c>
      <c r="K268" s="552">
        <v>0.55800000000000005</v>
      </c>
    </row>
    <row r="269" spans="2:11" ht="15" thickBot="1"/>
    <row r="270" spans="2:11">
      <c r="B270" s="173" t="s">
        <v>148</v>
      </c>
      <c r="C270" s="156">
        <v>2015</v>
      </c>
      <c r="D270" s="156">
        <v>2016</v>
      </c>
      <c r="E270" s="156">
        <v>2017</v>
      </c>
      <c r="F270" s="156">
        <v>2018</v>
      </c>
      <c r="G270" s="156">
        <v>2019</v>
      </c>
      <c r="H270" s="156">
        <v>2020</v>
      </c>
      <c r="I270" s="156">
        <v>2021</v>
      </c>
      <c r="J270" s="156">
        <v>2022</v>
      </c>
      <c r="K270" s="157">
        <v>2023</v>
      </c>
    </row>
    <row r="271" spans="2:11">
      <c r="B271" s="183" t="s">
        <v>265</v>
      </c>
      <c r="C271" s="111">
        <v>0.27329999999999999</v>
      </c>
      <c r="D271" s="111">
        <v>0.26860000000000001</v>
      </c>
      <c r="E271" s="111">
        <v>0.27510000000000001</v>
      </c>
      <c r="F271" s="111">
        <v>0.28110000000000002</v>
      </c>
      <c r="G271" s="111">
        <v>0.28670000000000001</v>
      </c>
      <c r="H271" s="111">
        <v>0.2923</v>
      </c>
      <c r="I271" s="111">
        <v>0.26280000000000003</v>
      </c>
      <c r="J271" s="111">
        <v>0.24059999999999998</v>
      </c>
      <c r="K271" s="186">
        <v>0.24059999999999998</v>
      </c>
    </row>
    <row r="272" spans="2:11">
      <c r="B272" s="175" t="s">
        <v>266</v>
      </c>
      <c r="C272" s="112">
        <v>0.1769</v>
      </c>
      <c r="D272" s="112">
        <v>0.15509999999999999</v>
      </c>
      <c r="E272" s="112">
        <v>0.4526</v>
      </c>
      <c r="F272" s="112">
        <v>0.25569999999999998</v>
      </c>
      <c r="G272" s="112">
        <v>0.29549999999999998</v>
      </c>
      <c r="H272" s="112">
        <v>0.2792</v>
      </c>
      <c r="I272" s="112">
        <v>0.36599999999999999</v>
      </c>
      <c r="J272" s="112">
        <v>0.4612</v>
      </c>
      <c r="K272" s="187">
        <v>0.4612</v>
      </c>
    </row>
    <row r="273" spans="2:11">
      <c r="B273" s="175" t="s">
        <v>267</v>
      </c>
      <c r="C273" s="112">
        <v>0.249</v>
      </c>
      <c r="D273" s="112">
        <v>0.25</v>
      </c>
      <c r="E273" s="112">
        <v>0.25059999999999999</v>
      </c>
      <c r="F273" s="112">
        <v>0.25409999999999999</v>
      </c>
      <c r="G273" s="112">
        <v>0.255</v>
      </c>
      <c r="H273" s="112">
        <v>0.2427</v>
      </c>
      <c r="I273" s="112">
        <v>0.25280000000000002</v>
      </c>
      <c r="J273" s="112">
        <v>0.25980000000000003</v>
      </c>
      <c r="K273" s="187">
        <v>0.26469999999999999</v>
      </c>
    </row>
    <row r="274" spans="2:11">
      <c r="B274" s="175" t="s">
        <v>268</v>
      </c>
      <c r="C274" s="113">
        <v>0</v>
      </c>
      <c r="D274" s="113">
        <v>8.8900000000000007E-2</v>
      </c>
      <c r="E274" s="113">
        <v>0.24440000000000001</v>
      </c>
      <c r="F274" s="113">
        <v>0.2427</v>
      </c>
      <c r="G274" s="113">
        <v>0.22920000000000001</v>
      </c>
      <c r="H274" s="113">
        <v>0.2316</v>
      </c>
      <c r="I274" s="113">
        <v>0.22450000000000001</v>
      </c>
      <c r="J274" s="113">
        <v>0.25129999999999997</v>
      </c>
      <c r="K274" s="188">
        <v>0.25129999999999997</v>
      </c>
    </row>
    <row r="275" spans="2:11">
      <c r="B275" s="175" t="s">
        <v>269</v>
      </c>
      <c r="C275" s="113">
        <v>0.1429</v>
      </c>
      <c r="D275" s="113">
        <v>0.1258</v>
      </c>
      <c r="E275" s="113">
        <v>7.8200000000000006E-2</v>
      </c>
      <c r="F275" s="113">
        <v>0.1699</v>
      </c>
      <c r="G275" s="113">
        <v>0.15429999999999999</v>
      </c>
      <c r="H275" s="113">
        <v>0.11609999999999999</v>
      </c>
      <c r="I275" s="113">
        <v>0.1484</v>
      </c>
      <c r="J275" s="113">
        <v>0.15609999999999999</v>
      </c>
      <c r="K275" s="188">
        <v>0</v>
      </c>
    </row>
    <row r="276" spans="2:11">
      <c r="B276" s="175" t="s">
        <v>270</v>
      </c>
      <c r="C276" s="112">
        <v>0</v>
      </c>
      <c r="D276" s="112">
        <v>0.34110000000000001</v>
      </c>
      <c r="E276" s="112">
        <v>0.25600000000000001</v>
      </c>
      <c r="F276" s="112">
        <v>0.32979999999999998</v>
      </c>
      <c r="G276" s="112">
        <v>0.32750000000000001</v>
      </c>
      <c r="H276" s="112">
        <v>0.17180000000000001</v>
      </c>
      <c r="I276" s="112">
        <v>0.32770000000000005</v>
      </c>
      <c r="J276" s="112">
        <v>0.35639999999999999</v>
      </c>
      <c r="K276" s="187">
        <v>0.2422</v>
      </c>
    </row>
    <row r="277" spans="2:11">
      <c r="B277" s="175" t="s">
        <v>271</v>
      </c>
      <c r="C277" s="112">
        <v>0.1429</v>
      </c>
      <c r="D277" s="112">
        <v>0.39319999999999999</v>
      </c>
      <c r="E277" s="112">
        <v>0.4672</v>
      </c>
      <c r="F277" s="112">
        <v>0.34130000000000005</v>
      </c>
      <c r="G277" s="112">
        <v>0.25540000000000002</v>
      </c>
      <c r="H277" s="112">
        <v>0.28770000000000001</v>
      </c>
      <c r="I277" s="112">
        <v>0.253</v>
      </c>
      <c r="J277" s="112">
        <v>0.29170000000000001</v>
      </c>
      <c r="K277" s="187">
        <v>0.29170000000000001</v>
      </c>
    </row>
    <row r="278" spans="2:11" ht="15" thickBot="1">
      <c r="B278" s="185" t="s">
        <v>406</v>
      </c>
      <c r="C278" s="526">
        <v>1.1999999999999999E-3</v>
      </c>
      <c r="D278" s="526">
        <v>5.0000000000000001E-4</v>
      </c>
      <c r="E278" s="526">
        <v>1.8E-3</v>
      </c>
      <c r="F278" s="526">
        <v>2E-3</v>
      </c>
      <c r="G278" s="526">
        <v>2E-3</v>
      </c>
      <c r="H278" s="526">
        <v>3.2000000000000002E-3</v>
      </c>
      <c r="I278" s="526">
        <v>1.7000000000000001E-3</v>
      </c>
      <c r="J278" s="526">
        <v>0</v>
      </c>
      <c r="K278" s="527">
        <v>3.0999999999999999E-3</v>
      </c>
    </row>
    <row r="279" spans="2:11" ht="15" thickBot="1">
      <c r="C279" s="114"/>
      <c r="D279" s="114"/>
      <c r="E279" s="114"/>
      <c r="F279" s="114"/>
      <c r="G279" s="114"/>
      <c r="H279" s="114"/>
      <c r="I279" s="114"/>
      <c r="J279" s="114"/>
      <c r="K279" s="114"/>
    </row>
    <row r="280" spans="2:11">
      <c r="B280" s="173" t="s">
        <v>149</v>
      </c>
      <c r="C280" s="156">
        <v>2015</v>
      </c>
      <c r="D280" s="156">
        <v>2016</v>
      </c>
      <c r="E280" s="156">
        <v>2017</v>
      </c>
      <c r="F280" s="156">
        <v>2018</v>
      </c>
      <c r="G280" s="156">
        <v>2019</v>
      </c>
      <c r="H280" s="156">
        <v>2020</v>
      </c>
      <c r="I280" s="156">
        <v>2021</v>
      </c>
      <c r="J280" s="156">
        <v>2022</v>
      </c>
      <c r="K280" s="157">
        <v>2023</v>
      </c>
    </row>
    <row r="281" spans="2:11">
      <c r="B281" s="183" t="s">
        <v>265</v>
      </c>
      <c r="C281" s="115">
        <v>0</v>
      </c>
      <c r="D281" s="115">
        <v>0</v>
      </c>
      <c r="E281" s="115">
        <v>0</v>
      </c>
      <c r="F281" s="115">
        <v>0</v>
      </c>
      <c r="G281" s="115">
        <v>3.5000000000000003E-2</v>
      </c>
      <c r="H281" s="115">
        <v>3.0099999999999998E-2</v>
      </c>
      <c r="I281" s="115">
        <v>2.18E-2</v>
      </c>
      <c r="J281" s="115">
        <v>3.4500000000000003E-2</v>
      </c>
      <c r="K281" s="184">
        <v>3.4500000000000003E-2</v>
      </c>
    </row>
    <row r="282" spans="2:11">
      <c r="B282" s="175" t="s">
        <v>266</v>
      </c>
      <c r="C282" s="176">
        <v>0.255</v>
      </c>
      <c r="D282" s="176">
        <v>0.31109999999999999</v>
      </c>
      <c r="E282" s="176">
        <v>0.40549999999999997</v>
      </c>
      <c r="F282" s="176">
        <v>0.36299999999999999</v>
      </c>
      <c r="G282" s="176">
        <v>0.70050000000000001</v>
      </c>
      <c r="H282" s="176">
        <v>0.81969999999999998</v>
      </c>
      <c r="I282" s="176">
        <v>0.84089999999999998</v>
      </c>
      <c r="J282" s="176">
        <v>0.62659999999999993</v>
      </c>
      <c r="K282" s="177">
        <v>0.62659999999999993</v>
      </c>
    </row>
    <row r="283" spans="2:11">
      <c r="B283" s="175" t="s">
        <v>267</v>
      </c>
      <c r="C283" s="176">
        <v>0.34409999999999996</v>
      </c>
      <c r="D283" s="176">
        <v>0.36149999999999999</v>
      </c>
      <c r="E283" s="176">
        <v>0.40810000000000002</v>
      </c>
      <c r="F283" s="176">
        <v>36.130000000000003</v>
      </c>
      <c r="G283" s="176">
        <v>0.38270000000000004</v>
      </c>
      <c r="H283" s="176">
        <v>0.4299</v>
      </c>
      <c r="I283" s="176">
        <v>0.37719999999999998</v>
      </c>
      <c r="J283" s="176">
        <v>0.23319999999999999</v>
      </c>
      <c r="K283" s="177">
        <v>0.2361</v>
      </c>
    </row>
    <row r="284" spans="2:11">
      <c r="B284" s="175" t="s">
        <v>268</v>
      </c>
      <c r="C284" s="176">
        <v>0.36649999999999999</v>
      </c>
      <c r="D284" s="176">
        <v>0.45579999999999998</v>
      </c>
      <c r="E284" s="176">
        <v>0.4355</v>
      </c>
      <c r="F284" s="176">
        <v>0.36829999999999996</v>
      </c>
      <c r="G284" s="176">
        <v>0.31890000000000002</v>
      </c>
      <c r="H284" s="176">
        <v>0.25429999999999997</v>
      </c>
      <c r="I284" s="176">
        <v>0.2414</v>
      </c>
      <c r="J284" s="176">
        <v>0.1867</v>
      </c>
      <c r="K284" s="177">
        <v>0.1867</v>
      </c>
    </row>
    <row r="285" spans="2:11">
      <c r="B285" s="175" t="s">
        <v>269</v>
      </c>
      <c r="C285" s="176">
        <v>0.36520000000000002</v>
      </c>
      <c r="D285" s="176">
        <v>0.33229999999999998</v>
      </c>
      <c r="E285" s="176">
        <v>0.33399999999999996</v>
      </c>
      <c r="F285" s="176">
        <v>0.23170000000000002</v>
      </c>
      <c r="G285" s="176">
        <v>0.22190000000000001</v>
      </c>
      <c r="H285" s="176">
        <v>0.1865</v>
      </c>
      <c r="I285" s="176">
        <v>0.1555</v>
      </c>
      <c r="J285" s="176">
        <v>0.1235</v>
      </c>
      <c r="K285" s="177">
        <v>0.1235</v>
      </c>
    </row>
    <row r="286" spans="2:11">
      <c r="B286" s="175" t="s">
        <v>270</v>
      </c>
      <c r="C286" s="176">
        <v>0</v>
      </c>
      <c r="D286" s="176">
        <v>0</v>
      </c>
      <c r="E286" s="176">
        <v>0</v>
      </c>
      <c r="F286" s="176">
        <v>0</v>
      </c>
      <c r="G286" s="176">
        <v>0</v>
      </c>
      <c r="H286" s="176">
        <v>2.5600000000000001E-2</v>
      </c>
      <c r="I286" s="176">
        <v>2.0799999999999999E-2</v>
      </c>
      <c r="J286" s="176">
        <v>2.1000000000000001E-2</v>
      </c>
      <c r="K286" s="177">
        <v>3.44E-2</v>
      </c>
    </row>
    <row r="287" spans="2:11">
      <c r="B287" s="175" t="s">
        <v>271</v>
      </c>
      <c r="C287" s="176">
        <v>0.46310000000000001</v>
      </c>
      <c r="D287" s="176">
        <v>0.4204</v>
      </c>
      <c r="E287" s="176">
        <v>0.36880000000000002</v>
      </c>
      <c r="F287" s="176">
        <v>0.29909999999999998</v>
      </c>
      <c r="G287" s="176">
        <v>0.53079999999999994</v>
      </c>
      <c r="H287" s="176">
        <v>0.46920000000000001</v>
      </c>
      <c r="I287" s="176">
        <v>0.39810000000000001</v>
      </c>
      <c r="J287" s="176">
        <v>0.32689999999999997</v>
      </c>
      <c r="K287" s="177">
        <v>0.32689999999999997</v>
      </c>
    </row>
    <row r="288" spans="2:11" ht="15" thickBot="1">
      <c r="B288" s="185" t="s">
        <v>406</v>
      </c>
      <c r="C288" s="178">
        <v>3.0699999999999998E-2</v>
      </c>
      <c r="D288" s="178">
        <v>3.3399999999999999E-2</v>
      </c>
      <c r="E288" s="178">
        <v>7.5499999999999998E-2</v>
      </c>
      <c r="F288" s="178">
        <v>4.4800000000000006E-2</v>
      </c>
      <c r="G288" s="178">
        <v>8.77E-2</v>
      </c>
      <c r="H288" s="178">
        <v>0.12050000000000001</v>
      </c>
      <c r="I288" s="178">
        <v>0.1595</v>
      </c>
      <c r="J288" s="178">
        <v>0.19079999999999997</v>
      </c>
      <c r="K288" s="179">
        <v>0.19899999999999998</v>
      </c>
    </row>
    <row r="289" spans="2:11" ht="15" thickBot="1">
      <c r="C289" s="110"/>
      <c r="D289" s="110"/>
      <c r="E289" s="110"/>
      <c r="F289" s="110"/>
      <c r="G289" s="110"/>
      <c r="H289" s="110"/>
      <c r="I289" s="110"/>
      <c r="J289" s="110"/>
      <c r="K289" s="110"/>
    </row>
    <row r="290" spans="2:11">
      <c r="B290" s="173" t="s">
        <v>150</v>
      </c>
      <c r="C290" s="137">
        <v>2015</v>
      </c>
      <c r="D290" s="137">
        <v>2016</v>
      </c>
      <c r="E290" s="137">
        <v>2017</v>
      </c>
      <c r="F290" s="137">
        <v>2018</v>
      </c>
      <c r="G290" s="137">
        <v>2019</v>
      </c>
      <c r="H290" s="137">
        <v>2020</v>
      </c>
      <c r="I290" s="137">
        <v>2021</v>
      </c>
      <c r="J290" s="137">
        <v>2022</v>
      </c>
      <c r="K290" s="139">
        <v>2023</v>
      </c>
    </row>
    <row r="291" spans="2:11">
      <c r="B291" s="183" t="s">
        <v>265</v>
      </c>
      <c r="C291" s="176">
        <f t="shared" ref="C291:K291" si="28">+C261/(1+(1-C271)*C281)</f>
        <v>0.21099999999999999</v>
      </c>
      <c r="D291" s="176">
        <f t="shared" si="28"/>
        <v>0.54500000000000004</v>
      </c>
      <c r="E291" s="176">
        <f t="shared" si="28"/>
        <v>0.94</v>
      </c>
      <c r="F291" s="176">
        <f t="shared" si="28"/>
        <v>0.434</v>
      </c>
      <c r="G291" s="176">
        <f t="shared" si="28"/>
        <v>0.46343023252977783</v>
      </c>
      <c r="H291" s="176">
        <f t="shared" si="28"/>
        <v>0.43180185617420402</v>
      </c>
      <c r="I291" s="176">
        <f t="shared" si="28"/>
        <v>0.40351512457358291</v>
      </c>
      <c r="J291" s="176">
        <f t="shared" si="28"/>
        <v>0.43266449314475269</v>
      </c>
      <c r="K291" s="177">
        <f t="shared" si="28"/>
        <v>0.47554115462756597</v>
      </c>
    </row>
    <row r="292" spans="2:11">
      <c r="B292" s="175" t="s">
        <v>266</v>
      </c>
      <c r="C292" s="176">
        <f t="shared" ref="C292:K292" si="29">+C262/(1+(1-C272)*C282)</f>
        <v>0.52236132112782108</v>
      </c>
      <c r="D292" s="176">
        <f t="shared" si="29"/>
        <v>0.61052459353414545</v>
      </c>
      <c r="E292" s="176">
        <f t="shared" si="29"/>
        <v>0.56957175814444649</v>
      </c>
      <c r="F292" s="176">
        <f t="shared" si="29"/>
        <v>0.49126860591274835</v>
      </c>
      <c r="G292" s="176">
        <f t="shared" si="29"/>
        <v>0.4432534333309508</v>
      </c>
      <c r="H292" s="176">
        <f t="shared" si="29"/>
        <v>0.50350765686168175</v>
      </c>
      <c r="I292" s="176">
        <f t="shared" si="29"/>
        <v>0.55115982943657893</v>
      </c>
      <c r="J292" s="176">
        <f t="shared" si="29"/>
        <v>0.60630433301708819</v>
      </c>
      <c r="K292" s="177">
        <f t="shared" si="29"/>
        <v>0.57415749415181716</v>
      </c>
    </row>
    <row r="293" spans="2:11">
      <c r="B293" s="175" t="s">
        <v>267</v>
      </c>
      <c r="C293" s="176">
        <f t="shared" ref="C293:K293" si="30">+C263/(1+(1-C273)*C283)</f>
        <v>0.36394870357578013</v>
      </c>
      <c r="D293" s="176">
        <f t="shared" si="30"/>
        <v>0.5624938538696036</v>
      </c>
      <c r="E293" s="176">
        <f t="shared" si="30"/>
        <v>0.76579638451291987</v>
      </c>
      <c r="F293" s="176">
        <f t="shared" si="30"/>
        <v>2.4472826164542473E-2</v>
      </c>
      <c r="G293" s="176">
        <f t="shared" si="30"/>
        <v>0.55481567163627432</v>
      </c>
      <c r="H293" s="176">
        <f t="shared" si="30"/>
        <v>0.64199123441312611</v>
      </c>
      <c r="I293" s="176">
        <f t="shared" si="30"/>
        <v>0.65374577920505506</v>
      </c>
      <c r="J293" s="176">
        <f t="shared" si="30"/>
        <v>0.52191059118961713</v>
      </c>
      <c r="K293" s="177">
        <f t="shared" si="30"/>
        <v>0.53765991132633262</v>
      </c>
    </row>
    <row r="294" spans="2:11">
      <c r="B294" s="175" t="s">
        <v>268</v>
      </c>
      <c r="C294" s="176">
        <f t="shared" ref="C294:K294" si="31">+C264/(1+(1-C274)*C284)</f>
        <v>0.26344676180021953</v>
      </c>
      <c r="D294" s="176">
        <f t="shared" si="31"/>
        <v>0.39709474181698323</v>
      </c>
      <c r="E294" s="176">
        <f t="shared" si="31"/>
        <v>8.5022254010680295E-2</v>
      </c>
      <c r="F294" s="176">
        <f t="shared" si="31"/>
        <v>0.59347246439065526</v>
      </c>
      <c r="G294" s="176">
        <f t="shared" si="31"/>
        <v>0.66302345179769739</v>
      </c>
      <c r="H294" s="176">
        <f t="shared" si="31"/>
        <v>0.52869150225113826</v>
      </c>
      <c r="I294" s="176">
        <f t="shared" si="31"/>
        <v>0.5171808053145297</v>
      </c>
      <c r="J294" s="176">
        <f t="shared" si="31"/>
        <v>0.41060473048760915</v>
      </c>
      <c r="K294" s="177">
        <f t="shared" si="31"/>
        <v>0.41850097530467856</v>
      </c>
    </row>
    <row r="295" spans="2:11">
      <c r="B295" s="175" t="s">
        <v>269</v>
      </c>
      <c r="C295" s="176">
        <f t="shared" ref="C295:K295" si="32">+C265/(1+(1-C275)*C285)</f>
        <v>0.35947856476537943</v>
      </c>
      <c r="D295" s="176">
        <f t="shared" si="32"/>
        <v>0.32080671948426426</v>
      </c>
      <c r="E295" s="176">
        <f t="shared" si="32"/>
        <v>0.3692995969358685</v>
      </c>
      <c r="F295" s="176">
        <f t="shared" si="32"/>
        <v>0.55269740361462594</v>
      </c>
      <c r="G295" s="176">
        <f t="shared" si="32"/>
        <v>0.55739819254626766</v>
      </c>
      <c r="H295" s="176">
        <f t="shared" si="32"/>
        <v>0.71425667921208724</v>
      </c>
      <c r="I295" s="176">
        <f t="shared" si="32"/>
        <v>0.70291705278536187</v>
      </c>
      <c r="J295" s="176">
        <f t="shared" si="32"/>
        <v>0.48269294484490505</v>
      </c>
      <c r="K295" s="177">
        <f t="shared" si="32"/>
        <v>0.52247441032487763</v>
      </c>
    </row>
    <row r="296" spans="2:11">
      <c r="B296" s="175" t="s">
        <v>270</v>
      </c>
      <c r="C296" s="176">
        <f t="shared" ref="C296:K296" si="33">+C266/(1+(1-C276)*C286)</f>
        <v>0.70599999999999996</v>
      </c>
      <c r="D296" s="176">
        <f t="shared" si="33"/>
        <v>0.71799999999999997</v>
      </c>
      <c r="E296" s="176">
        <f t="shared" si="33"/>
        <v>0.42899999999999999</v>
      </c>
      <c r="F296" s="176">
        <f t="shared" si="33"/>
        <v>0.50800000000000001</v>
      </c>
      <c r="G296" s="176">
        <f t="shared" si="33"/>
        <v>0.40899999999999997</v>
      </c>
      <c r="H296" s="176">
        <f t="shared" si="33"/>
        <v>0.47003436891305489</v>
      </c>
      <c r="I296" s="176">
        <f t="shared" si="33"/>
        <v>0.52959423889832402</v>
      </c>
      <c r="J296" s="176">
        <f t="shared" si="33"/>
        <v>0.41933247006755492</v>
      </c>
      <c r="K296" s="177">
        <f t="shared" si="33"/>
        <v>0.44149106952254408</v>
      </c>
    </row>
    <row r="297" spans="2:11">
      <c r="B297" s="175" t="s">
        <v>271</v>
      </c>
      <c r="C297" s="176">
        <f t="shared" ref="C297:K297" si="34">+C267/(1+(1-C277)*C287)</f>
        <v>0.79102426697087613</v>
      </c>
      <c r="D297" s="176">
        <f t="shared" si="34"/>
        <v>0.80631107647054256</v>
      </c>
      <c r="E297" s="176">
        <f t="shared" si="34"/>
        <v>0.6886772369038997</v>
      </c>
      <c r="F297" s="176">
        <f t="shared" si="34"/>
        <v>0.55805381638761287</v>
      </c>
      <c r="G297" s="176">
        <f t="shared" si="34"/>
        <v>0.45225399088703189</v>
      </c>
      <c r="H297" s="176">
        <f t="shared" si="34"/>
        <v>0.51641001114096508</v>
      </c>
      <c r="I297" s="176">
        <f t="shared" si="34"/>
        <v>0.54802726755531361</v>
      </c>
      <c r="J297" s="176">
        <f t="shared" si="34"/>
        <v>0.55052876867249667</v>
      </c>
      <c r="K297" s="177">
        <f t="shared" si="34"/>
        <v>0.54971677933817142</v>
      </c>
    </row>
    <row r="298" spans="2:11" ht="15" thickBot="1">
      <c r="B298" s="185" t="s">
        <v>406</v>
      </c>
      <c r="C298" s="178">
        <f t="shared" ref="C298:K298" si="35">+C268/(1+(1-C278)*C288)</f>
        <v>0.48609479745060452</v>
      </c>
      <c r="D298" s="178">
        <f t="shared" si="35"/>
        <v>0.60480946421332726</v>
      </c>
      <c r="E298" s="178">
        <f t="shared" si="35"/>
        <v>0.58491816864632173</v>
      </c>
      <c r="F298" s="178">
        <f t="shared" si="35"/>
        <v>0.57145023156656616</v>
      </c>
      <c r="G298" s="178">
        <f t="shared" si="35"/>
        <v>0.50481616691705178</v>
      </c>
      <c r="H298" s="178">
        <f t="shared" si="35"/>
        <v>0.61065191198327595</v>
      </c>
      <c r="I298" s="178">
        <f t="shared" si="35"/>
        <v>0.59608592384497672</v>
      </c>
      <c r="J298" s="178">
        <f t="shared" si="35"/>
        <v>0.47615048706751767</v>
      </c>
      <c r="K298" s="179">
        <f t="shared" si="35"/>
        <v>0.46562739411128212</v>
      </c>
    </row>
    <row r="299" spans="2:11" ht="15" thickBot="1">
      <c r="C299" s="110"/>
      <c r="D299" s="110"/>
      <c r="E299" s="110"/>
      <c r="F299" s="110"/>
      <c r="G299" s="110"/>
      <c r="H299" s="110"/>
      <c r="I299" s="110"/>
      <c r="J299" s="110"/>
      <c r="K299" s="110"/>
    </row>
    <row r="300" spans="2:11" ht="15" thickBot="1">
      <c r="B300" s="180" t="s">
        <v>151</v>
      </c>
      <c r="C300" s="181">
        <f>+AVERAGE(C291:C294)</f>
        <v>0.34018919662595515</v>
      </c>
      <c r="D300" s="181">
        <f t="shared" ref="D300:K300" si="36">+AVERAGE(D291:D298)</f>
        <v>0.5706300561736084</v>
      </c>
      <c r="E300" s="181">
        <f t="shared" si="36"/>
        <v>0.55403567489426708</v>
      </c>
      <c r="F300" s="181">
        <f t="shared" si="36"/>
        <v>0.46667691850459392</v>
      </c>
      <c r="G300" s="181">
        <f t="shared" si="36"/>
        <v>0.50599889245563145</v>
      </c>
      <c r="H300" s="181">
        <f t="shared" si="36"/>
        <v>0.55216815261869168</v>
      </c>
      <c r="I300" s="181">
        <f t="shared" si="36"/>
        <v>0.56277825270171544</v>
      </c>
      <c r="J300" s="181">
        <f t="shared" si="36"/>
        <v>0.48752360231144265</v>
      </c>
      <c r="K300" s="182">
        <f t="shared" si="36"/>
        <v>0.49814614858840872</v>
      </c>
    </row>
    <row r="301" spans="2:11"/>
    <row r="302" spans="2:11"/>
    <row r="303" spans="2:11">
      <c r="B303" s="50" t="s">
        <v>152</v>
      </c>
    </row>
    <row r="304" spans="2:11" ht="15" thickBot="1"/>
    <row r="305" spans="2:11">
      <c r="B305" s="136"/>
      <c r="C305" s="156">
        <v>2015</v>
      </c>
      <c r="D305" s="156">
        <v>2016</v>
      </c>
      <c r="E305" s="156">
        <v>2017</v>
      </c>
      <c r="F305" s="156">
        <v>2018</v>
      </c>
      <c r="G305" s="156">
        <v>2019</v>
      </c>
      <c r="H305" s="156">
        <v>2020</v>
      </c>
      <c r="I305" s="156">
        <v>2021</v>
      </c>
      <c r="J305" s="156">
        <v>2022</v>
      </c>
      <c r="K305" s="157">
        <v>2023</v>
      </c>
    </row>
    <row r="306" spans="2:11">
      <c r="B306" s="158" t="s">
        <v>166</v>
      </c>
      <c r="C306" s="135">
        <v>1</v>
      </c>
      <c r="D306" s="135">
        <v>2</v>
      </c>
      <c r="E306" s="135">
        <v>0</v>
      </c>
      <c r="F306" s="135">
        <f>46323+7738</f>
        <v>54061</v>
      </c>
      <c r="G306" s="135">
        <v>138454</v>
      </c>
      <c r="H306" s="135">
        <f>141086+33574</f>
        <v>174660</v>
      </c>
      <c r="I306" s="135">
        <f>142950+34429</f>
        <v>177379</v>
      </c>
      <c r="J306" s="135">
        <f>139822+5760</f>
        <v>145582</v>
      </c>
      <c r="K306" s="413">
        <f>131691+6043</f>
        <v>137734</v>
      </c>
    </row>
    <row r="307" spans="2:11">
      <c r="B307" s="159" t="s">
        <v>116</v>
      </c>
      <c r="C307" s="160">
        <v>9726</v>
      </c>
      <c r="D307" s="160">
        <v>12877</v>
      </c>
      <c r="E307" s="160">
        <v>15768</v>
      </c>
      <c r="F307" s="160">
        <v>27328</v>
      </c>
      <c r="G307" s="160">
        <v>27439</v>
      </c>
      <c r="H307" s="160">
        <v>22834</v>
      </c>
      <c r="I307" s="160">
        <v>21622</v>
      </c>
      <c r="J307" s="160">
        <v>59683</v>
      </c>
      <c r="K307" s="414">
        <v>55930</v>
      </c>
    </row>
    <row r="308" spans="2:11">
      <c r="B308" s="161"/>
      <c r="C308" s="162"/>
      <c r="D308" s="162"/>
      <c r="E308" s="162"/>
      <c r="F308" s="162"/>
      <c r="G308" s="162"/>
      <c r="H308" s="162"/>
      <c r="I308" s="162"/>
      <c r="J308" s="162"/>
      <c r="K308" s="163"/>
    </row>
    <row r="309" spans="2:11">
      <c r="B309" s="164" t="s">
        <v>153</v>
      </c>
      <c r="C309" s="117">
        <f t="shared" ref="C309:K309" si="37">C306/C307</f>
        <v>1.0281719103434094E-4</v>
      </c>
      <c r="D309" s="117">
        <f t="shared" si="37"/>
        <v>1.5531567911780694E-4</v>
      </c>
      <c r="E309" s="117">
        <f t="shared" si="37"/>
        <v>0</v>
      </c>
      <c r="F309" s="117">
        <f t="shared" si="37"/>
        <v>1.9782274590163935</v>
      </c>
      <c r="G309" s="117">
        <f t="shared" si="37"/>
        <v>5.0458835963409747</v>
      </c>
      <c r="H309" s="117">
        <f t="shared" si="37"/>
        <v>7.6491197337304024</v>
      </c>
      <c r="I309" s="117">
        <f t="shared" si="37"/>
        <v>8.2036351863842381</v>
      </c>
      <c r="J309" s="117">
        <f t="shared" si="37"/>
        <v>2.439254058944758</v>
      </c>
      <c r="K309" s="165">
        <f t="shared" si="37"/>
        <v>2.4626139817629178</v>
      </c>
    </row>
    <row r="310" spans="2:11">
      <c r="B310" s="164" t="s">
        <v>154</v>
      </c>
      <c r="C310" s="118">
        <f t="shared" ref="C310:K310" si="38">C306/(C306+C307)</f>
        <v>1.0280662074637607E-4</v>
      </c>
      <c r="D310" s="118">
        <f t="shared" si="38"/>
        <v>1.5529155990371923E-4</v>
      </c>
      <c r="E310" s="118">
        <f t="shared" si="38"/>
        <v>0</v>
      </c>
      <c r="F310" s="118">
        <f t="shared" si="38"/>
        <v>0.66422980992517411</v>
      </c>
      <c r="G310" s="118">
        <f t="shared" si="38"/>
        <v>0.83459820486699254</v>
      </c>
      <c r="H310" s="118">
        <f t="shared" si="38"/>
        <v>0.88438129765967577</v>
      </c>
      <c r="I310" s="118">
        <f t="shared" si="38"/>
        <v>0.8913472796619113</v>
      </c>
      <c r="J310" s="118">
        <f t="shared" si="38"/>
        <v>0.70923927605777892</v>
      </c>
      <c r="K310" s="166">
        <f t="shared" si="38"/>
        <v>0.7112008426966292</v>
      </c>
    </row>
    <row r="311" spans="2:11" ht="15" thickBot="1">
      <c r="B311" s="167" t="s">
        <v>155</v>
      </c>
      <c r="C311" s="168">
        <f t="shared" ref="C311:J311" si="39">1-C310</f>
        <v>0.99989719337925365</v>
      </c>
      <c r="D311" s="168">
        <f t="shared" si="39"/>
        <v>0.99984470844009632</v>
      </c>
      <c r="E311" s="168">
        <f t="shared" si="39"/>
        <v>1</v>
      </c>
      <c r="F311" s="168">
        <f t="shared" si="39"/>
        <v>0.33577019007482589</v>
      </c>
      <c r="G311" s="168">
        <f t="shared" si="39"/>
        <v>0.16540179513300746</v>
      </c>
      <c r="H311" s="168">
        <f t="shared" si="39"/>
        <v>0.11561870234032423</v>
      </c>
      <c r="I311" s="168">
        <f t="shared" si="39"/>
        <v>0.1086527203380887</v>
      </c>
      <c r="J311" s="168">
        <f t="shared" si="39"/>
        <v>0.29076072394222108</v>
      </c>
      <c r="K311" s="169">
        <f t="shared" ref="K311" si="40">1-K310</f>
        <v>0.2887991573033708</v>
      </c>
    </row>
    <row r="312" spans="2:11"/>
    <row r="313" spans="2:11"/>
    <row r="314" spans="2:11">
      <c r="B314" s="50" t="s">
        <v>156</v>
      </c>
    </row>
    <row r="315" spans="2:11" ht="15" thickBot="1"/>
    <row r="316" spans="2:11">
      <c r="B316" s="136" t="s">
        <v>158</v>
      </c>
      <c r="C316" s="137">
        <v>2015</v>
      </c>
      <c r="D316" s="137">
        <v>2016</v>
      </c>
      <c r="E316" s="137">
        <v>2017</v>
      </c>
      <c r="F316" s="137">
        <v>2018</v>
      </c>
      <c r="G316" s="137">
        <v>2019</v>
      </c>
      <c r="H316" s="137">
        <v>2020</v>
      </c>
      <c r="I316" s="138">
        <v>2021</v>
      </c>
      <c r="J316" s="137">
        <v>2022</v>
      </c>
      <c r="K316" s="139">
        <v>2023</v>
      </c>
    </row>
    <row r="317" spans="2:11">
      <c r="B317" s="140" t="s">
        <v>162</v>
      </c>
      <c r="C317" s="119"/>
      <c r="D317" s="119"/>
      <c r="E317" s="120"/>
      <c r="F317" s="120"/>
      <c r="G317" s="120"/>
      <c r="H317" s="120"/>
      <c r="I317" s="120"/>
      <c r="J317" s="120"/>
      <c r="K317" s="141"/>
    </row>
    <row r="318" spans="2:11">
      <c r="B318" s="142" t="s">
        <v>160</v>
      </c>
      <c r="C318" s="170">
        <v>0</v>
      </c>
      <c r="D318" s="170">
        <v>0</v>
      </c>
      <c r="E318" s="171">
        <v>0</v>
      </c>
      <c r="F318" s="171">
        <v>28155500.004401401</v>
      </c>
      <c r="G318" s="171">
        <v>64377500.004401401</v>
      </c>
      <c r="H318" s="171">
        <v>75433500.004401401</v>
      </c>
      <c r="I318" s="171">
        <v>75433500.004401401</v>
      </c>
      <c r="J318" s="578">
        <v>72450189.817560256</v>
      </c>
      <c r="K318" s="579">
        <v>70094929.328243211</v>
      </c>
    </row>
    <row r="319" spans="2:11">
      <c r="B319" s="142" t="s">
        <v>161</v>
      </c>
      <c r="C319" s="170">
        <v>0</v>
      </c>
      <c r="D319" s="170">
        <v>0</v>
      </c>
      <c r="E319" s="171">
        <v>0</v>
      </c>
      <c r="F319" s="171">
        <v>15383972.852496974</v>
      </c>
      <c r="G319" s="171">
        <v>35175673.652496979</v>
      </c>
      <c r="H319" s="171">
        <v>41216672.052496985</v>
      </c>
      <c r="I319" s="171">
        <v>41216672.052496985</v>
      </c>
      <c r="J319" s="578">
        <v>39586592.121519729</v>
      </c>
      <c r="K319" s="579">
        <v>38299678.513210505</v>
      </c>
    </row>
    <row r="320" spans="2:11">
      <c r="B320" s="153" t="s">
        <v>164</v>
      </c>
      <c r="C320" s="170">
        <v>0</v>
      </c>
      <c r="D320" s="170">
        <v>0</v>
      </c>
      <c r="E320" s="171">
        <v>0</v>
      </c>
      <c r="F320" s="171">
        <v>12771527.143101577</v>
      </c>
      <c r="G320" s="171">
        <v>29201826.34310158</v>
      </c>
      <c r="H320" s="171">
        <v>34216827.943101577</v>
      </c>
      <c r="I320" s="171">
        <v>34216827.943101577</v>
      </c>
      <c r="J320" s="578">
        <v>32863597.687254969</v>
      </c>
      <c r="K320" s="579">
        <v>31795250.806263696</v>
      </c>
    </row>
    <row r="321" spans="2:11">
      <c r="B321" s="172" t="s">
        <v>165</v>
      </c>
      <c r="C321" s="150">
        <f>SUM(C318:C320)</f>
        <v>0</v>
      </c>
      <c r="D321" s="150">
        <f>SUM(D318:D320)</f>
        <v>0</v>
      </c>
      <c r="E321" s="150">
        <f>SUM(E318:E320)</f>
        <v>0</v>
      </c>
      <c r="F321" s="150">
        <f>SUM(F318:F320)</f>
        <v>56310999.999999955</v>
      </c>
      <c r="G321" s="150">
        <f>SUM(G318:G320)</f>
        <v>128754999.99999996</v>
      </c>
      <c r="H321" s="150">
        <f t="shared" ref="H321:K321" si="41">SUM(H318:H320)</f>
        <v>150866999.99999997</v>
      </c>
      <c r="I321" s="150">
        <f t="shared" si="41"/>
        <v>150866999.99999997</v>
      </c>
      <c r="J321" s="580">
        <f t="shared" si="41"/>
        <v>144900379.62633497</v>
      </c>
      <c r="K321" s="581">
        <f t="shared" si="41"/>
        <v>140189858.64771742</v>
      </c>
    </row>
    <row r="322" spans="2:11">
      <c r="B322" s="143"/>
      <c r="C322" s="121"/>
      <c r="D322" s="121"/>
      <c r="E322" s="121"/>
      <c r="F322" s="121"/>
      <c r="G322" s="39"/>
      <c r="H322" s="39"/>
      <c r="I322" s="39"/>
      <c r="J322" s="39"/>
      <c r="K322" s="144"/>
    </row>
    <row r="323" spans="2:11" hidden="1">
      <c r="B323" s="145" t="s">
        <v>157</v>
      </c>
      <c r="C323" s="116">
        <v>2015</v>
      </c>
      <c r="D323" s="116">
        <v>2016</v>
      </c>
      <c r="E323" s="116">
        <v>2017</v>
      </c>
      <c r="F323" s="116">
        <v>2018</v>
      </c>
      <c r="G323" s="116">
        <v>2019</v>
      </c>
      <c r="H323" s="116">
        <v>2020</v>
      </c>
      <c r="I323" s="116">
        <v>2021</v>
      </c>
      <c r="J323" s="116">
        <v>2022</v>
      </c>
      <c r="K323" s="146">
        <v>2022</v>
      </c>
    </row>
    <row r="324" spans="2:11">
      <c r="B324" s="140" t="s">
        <v>163</v>
      </c>
      <c r="C324" s="122"/>
      <c r="D324" s="122"/>
      <c r="E324" s="122"/>
      <c r="F324" s="122"/>
      <c r="G324" s="122"/>
      <c r="H324" s="122"/>
      <c r="I324" s="122"/>
      <c r="J324" s="122"/>
      <c r="K324" s="147"/>
    </row>
    <row r="325" spans="2:11">
      <c r="B325" s="142" t="s">
        <v>160</v>
      </c>
      <c r="C325" s="148">
        <v>0</v>
      </c>
      <c r="D325" s="148">
        <v>0</v>
      </c>
      <c r="E325" s="148">
        <v>0</v>
      </c>
      <c r="F325" s="148">
        <v>8.5330243589743601E-2</v>
      </c>
      <c r="G325" s="133">
        <v>8.6122754545454552E-2</v>
      </c>
      <c r="H325" s="133">
        <v>7.0425029411764706E-2</v>
      </c>
      <c r="I325" s="133">
        <v>1.5889934520547946E-2</v>
      </c>
      <c r="J325" s="133">
        <v>2.142845369863014E-2</v>
      </c>
      <c r="K325" s="582">
        <v>6.4617658904109587E-2</v>
      </c>
    </row>
    <row r="326" spans="2:11">
      <c r="B326" s="142" t="s">
        <v>161</v>
      </c>
      <c r="C326" s="148">
        <v>0</v>
      </c>
      <c r="D326" s="148">
        <v>0</v>
      </c>
      <c r="E326" s="148">
        <v>0</v>
      </c>
      <c r="F326" s="148">
        <v>6.9330243589743587E-2</v>
      </c>
      <c r="G326" s="133">
        <v>7.0257582608695648E-2</v>
      </c>
      <c r="H326" s="133">
        <v>5.4425029411764692E-2</v>
      </c>
      <c r="I326" s="133">
        <v>1.3281715342465753E-2</v>
      </c>
      <c r="J326" s="133">
        <v>2.142845369863014E-2</v>
      </c>
      <c r="K326" s="582">
        <v>6.4617658904109587E-2</v>
      </c>
    </row>
    <row r="327" spans="2:11">
      <c r="B327" s="153" t="s">
        <v>164</v>
      </c>
      <c r="C327" s="154">
        <v>0</v>
      </c>
      <c r="D327" s="154">
        <v>0</v>
      </c>
      <c r="E327" s="154">
        <v>0</v>
      </c>
      <c r="F327" s="154">
        <v>5.3830243589743594E-2</v>
      </c>
      <c r="G327" s="155">
        <v>5.4757582608695655E-2</v>
      </c>
      <c r="H327" s="155">
        <v>3.8925029411764699E-2</v>
      </c>
      <c r="I327" s="155">
        <v>1.0407742739726028E-2</v>
      </c>
      <c r="J327" s="155">
        <v>2.142845369863014E-2</v>
      </c>
      <c r="K327" s="583">
        <v>6.4617658904109587E-2</v>
      </c>
    </row>
    <row r="328" spans="2:11" ht="15" thickBot="1">
      <c r="B328" s="151" t="s">
        <v>159</v>
      </c>
      <c r="C328" s="152">
        <v>0</v>
      </c>
      <c r="D328" s="152">
        <v>0</v>
      </c>
      <c r="E328" s="152">
        <v>0</v>
      </c>
      <c r="F328" s="152">
        <f t="shared" ref="F328:K328" si="42">(SUMPRODUCT(F318:F320,F325:F327)/F321)</f>
        <v>7.3814790647198592E-2</v>
      </c>
      <c r="G328" s="152">
        <f t="shared" si="42"/>
        <v>7.4674745422648139E-2</v>
      </c>
      <c r="H328" s="152">
        <f t="shared" si="42"/>
        <v>5.8909609650997584E-2</v>
      </c>
      <c r="I328" s="152">
        <f t="shared" si="42"/>
        <v>1.393400428120126E-2</v>
      </c>
      <c r="J328" s="152">
        <f t="shared" si="42"/>
        <v>2.142845369863014E-2</v>
      </c>
      <c r="K328" s="584">
        <f t="shared" si="42"/>
        <v>6.4617658904109587E-2</v>
      </c>
    </row>
    <row r="329" spans="2:11"/>
    <row r="330" spans="2:11"/>
    <row r="331" spans="2:11"/>
    <row r="332" spans="2:11"/>
    <row r="333" spans="2:11" ht="13.15" hidden="1" customHeight="1">
      <c r="C333" s="105"/>
      <c r="D333" s="105"/>
      <c r="E333" s="105"/>
      <c r="F333" s="105"/>
      <c r="G333" s="105"/>
    </row>
    <row r="334" spans="2:11"/>
    <row r="335" spans="2:11"/>
    <row r="336" spans="2:1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  <row r="382" s="3" customFormat="1"/>
    <row r="383" s="3" customFormat="1"/>
    <row r="384" s="3" customFormat="1"/>
    <row r="385" s="3" customFormat="1"/>
    <row r="386" s="3" customFormat="1"/>
    <row r="387" s="3" customFormat="1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FE751-40D4-432B-B644-FB4595976BCA}">
  <sheetPr>
    <tabColor theme="5" tint="-0.249977111117893"/>
  </sheetPr>
  <dimension ref="B1:T147"/>
  <sheetViews>
    <sheetView showGridLines="0" zoomScale="90" zoomScaleNormal="90" workbookViewId="0">
      <selection activeCell="O28" sqref="O28"/>
    </sheetView>
  </sheetViews>
  <sheetFormatPr baseColWidth="10" defaultRowHeight="14.5"/>
  <cols>
    <col min="2" max="2" width="27.453125" customWidth="1"/>
    <col min="4" max="4" width="12.54296875" bestFit="1" customWidth="1"/>
    <col min="16" max="16" width="12.54296875" bestFit="1" customWidth="1"/>
    <col min="20" max="20" width="14.1796875" customWidth="1"/>
  </cols>
  <sheetData>
    <row r="1" spans="2:13">
      <c r="H1" s="524">
        <f>'1. Factor X'!D15</f>
        <v>-5.4635196730062507E-2</v>
      </c>
    </row>
    <row r="3" spans="2:13">
      <c r="B3" s="2" t="s">
        <v>414</v>
      </c>
    </row>
    <row r="5" spans="2:13">
      <c r="B5" s="50" t="s">
        <v>230</v>
      </c>
    </row>
    <row r="6" spans="2:13" ht="15" thickBot="1">
      <c r="B6" s="50"/>
    </row>
    <row r="7" spans="2:13">
      <c r="B7" s="88"/>
      <c r="C7" s="311" t="s">
        <v>107</v>
      </c>
      <c r="D7" s="311">
        <v>2014</v>
      </c>
      <c r="E7" s="311">
        <v>2015</v>
      </c>
      <c r="F7" s="311">
        <v>2016</v>
      </c>
      <c r="G7" s="311">
        <v>2017</v>
      </c>
      <c r="H7" s="311">
        <v>2018</v>
      </c>
      <c r="I7" s="311">
        <v>2019</v>
      </c>
      <c r="J7" s="311">
        <v>2020</v>
      </c>
      <c r="K7" s="311">
        <v>2021</v>
      </c>
      <c r="L7" s="311">
        <v>2022</v>
      </c>
      <c r="M7" s="312">
        <v>2023</v>
      </c>
    </row>
    <row r="8" spans="2:13">
      <c r="B8" s="89" t="s">
        <v>94</v>
      </c>
      <c r="C8" s="334"/>
      <c r="D8" s="80"/>
      <c r="E8" s="80"/>
      <c r="F8" s="80"/>
      <c r="G8" s="80"/>
      <c r="H8" s="80"/>
      <c r="I8" s="80"/>
      <c r="J8" s="80"/>
      <c r="K8" s="80"/>
      <c r="L8" s="80"/>
      <c r="M8" s="90"/>
    </row>
    <row r="9" spans="2:13">
      <c r="B9" s="91" t="s">
        <v>95</v>
      </c>
      <c r="C9" s="335" t="s">
        <v>227</v>
      </c>
      <c r="D9" s="339">
        <f>'6.3.IPME'!C21</f>
        <v>1</v>
      </c>
      <c r="E9" s="339">
        <f>'6.3.IPME'!D21</f>
        <v>0.96641475426838075</v>
      </c>
      <c r="F9" s="339">
        <f>'6.3.IPME'!E21</f>
        <v>0.95375537256401044</v>
      </c>
      <c r="G9" s="339">
        <f>'6.3.IPME'!F21</f>
        <v>0.96402716013387579</v>
      </c>
      <c r="H9" s="339">
        <f>'6.3.IPME'!G21</f>
        <v>0.96142565699306981</v>
      </c>
      <c r="I9" s="339">
        <f>'6.3.IPME'!H21</f>
        <v>0.9616261095288986</v>
      </c>
      <c r="J9" s="339">
        <f>'6.3.IPME'!I21</f>
        <v>0.95083501540747817</v>
      </c>
      <c r="K9" s="339">
        <f>'6.3.IPME'!J21</f>
        <v>0.93792056724008865</v>
      </c>
      <c r="L9" s="339">
        <f>'6.3.IPME'!K21</f>
        <v>0.98476043995401552</v>
      </c>
      <c r="M9" s="340">
        <f>'6.3.IPME'!L21</f>
        <v>1.022425849129087</v>
      </c>
    </row>
    <row r="10" spans="2:13">
      <c r="B10" s="93" t="s">
        <v>96</v>
      </c>
      <c r="C10" s="335" t="s">
        <v>227</v>
      </c>
      <c r="D10" s="341">
        <f>'6.3.IPME'!C21</f>
        <v>1</v>
      </c>
      <c r="E10" s="341">
        <f>'6.3.IPME'!D21</f>
        <v>0.96641475426838075</v>
      </c>
      <c r="F10" s="341">
        <f>'6.3.IPME'!E21</f>
        <v>0.95375537256401044</v>
      </c>
      <c r="G10" s="341">
        <f>'6.3.IPME'!F21</f>
        <v>0.96402716013387579</v>
      </c>
      <c r="H10" s="341">
        <f>'6.3.IPME'!G21</f>
        <v>0.96142565699306981</v>
      </c>
      <c r="I10" s="341">
        <f>'6.3.IPME'!H21</f>
        <v>0.9616261095288986</v>
      </c>
      <c r="J10" s="341">
        <f>'6.3.IPME'!I21</f>
        <v>0.95083501540747817</v>
      </c>
      <c r="K10" s="341">
        <f>'6.3.IPME'!J21</f>
        <v>0.93792056724008865</v>
      </c>
      <c r="L10" s="341">
        <f>'6.3.IPME'!K21</f>
        <v>0.98476043995401552</v>
      </c>
      <c r="M10" s="342">
        <f>'6.3.IPME'!L21</f>
        <v>1.022425849129087</v>
      </c>
    </row>
    <row r="11" spans="2:13">
      <c r="B11" s="93" t="s">
        <v>97</v>
      </c>
      <c r="C11" s="335" t="s">
        <v>227</v>
      </c>
      <c r="D11" s="341">
        <f>'6.3.IPME'!C21</f>
        <v>1</v>
      </c>
      <c r="E11" s="341">
        <f>'6.3.IPME'!D21</f>
        <v>0.96641475426838075</v>
      </c>
      <c r="F11" s="341">
        <f>'6.3.IPME'!E21</f>
        <v>0.95375537256401044</v>
      </c>
      <c r="G11" s="341">
        <f>'6.3.IPME'!F21</f>
        <v>0.96402716013387579</v>
      </c>
      <c r="H11" s="341">
        <f>'6.3.IPME'!G21</f>
        <v>0.96142565699306981</v>
      </c>
      <c r="I11" s="341">
        <f>'6.3.IPME'!H21</f>
        <v>0.9616261095288986</v>
      </c>
      <c r="J11" s="341">
        <f>'6.3.IPME'!I21</f>
        <v>0.95083501540747817</v>
      </c>
      <c r="K11" s="341">
        <f>'6.3.IPME'!J21</f>
        <v>0.93792056724008865</v>
      </c>
      <c r="L11" s="341">
        <f>'6.3.IPME'!K21</f>
        <v>0.98476043995401552</v>
      </c>
      <c r="M11" s="342">
        <f>'6.3.IPME'!L21</f>
        <v>1.022425849129087</v>
      </c>
    </row>
    <row r="12" spans="2:13">
      <c r="B12" s="93" t="s">
        <v>98</v>
      </c>
      <c r="C12" s="335" t="s">
        <v>227</v>
      </c>
      <c r="D12" s="341">
        <f>'6.3.IPME'!C21</f>
        <v>1</v>
      </c>
      <c r="E12" s="341">
        <f>'6.3.IPME'!D21</f>
        <v>0.96641475426838075</v>
      </c>
      <c r="F12" s="341">
        <f>'6.3.IPME'!E21</f>
        <v>0.95375537256401044</v>
      </c>
      <c r="G12" s="341">
        <f>'6.3.IPME'!F21</f>
        <v>0.96402716013387579</v>
      </c>
      <c r="H12" s="341">
        <f>'6.3.IPME'!G21</f>
        <v>0.96142565699306981</v>
      </c>
      <c r="I12" s="341">
        <f>'6.3.IPME'!H21</f>
        <v>0.9616261095288986</v>
      </c>
      <c r="J12" s="341">
        <f>'6.3.IPME'!I21</f>
        <v>0.95083501540747817</v>
      </c>
      <c r="K12" s="341">
        <f>'6.3.IPME'!J21</f>
        <v>0.93792056724008865</v>
      </c>
      <c r="L12" s="341">
        <f>'6.3.IPME'!K21</f>
        <v>0.98476043995401552</v>
      </c>
      <c r="M12" s="342">
        <f>'6.3.IPME'!L21</f>
        <v>1.022425849129087</v>
      </c>
    </row>
    <row r="13" spans="2:13">
      <c r="B13" s="93" t="s">
        <v>99</v>
      </c>
      <c r="C13" s="335" t="s">
        <v>227</v>
      </c>
      <c r="D13" s="341">
        <f>'6.3.IPME'!C21</f>
        <v>1</v>
      </c>
      <c r="E13" s="341">
        <f>'6.3.IPME'!D21</f>
        <v>0.96641475426838075</v>
      </c>
      <c r="F13" s="341">
        <f>'6.3.IPME'!E21</f>
        <v>0.95375537256401044</v>
      </c>
      <c r="G13" s="341">
        <f>'6.3.IPME'!F21</f>
        <v>0.96402716013387579</v>
      </c>
      <c r="H13" s="341">
        <f>'6.3.IPME'!G21</f>
        <v>0.96142565699306981</v>
      </c>
      <c r="I13" s="341">
        <f>'6.3.IPME'!H21</f>
        <v>0.9616261095288986</v>
      </c>
      <c r="J13" s="341">
        <f>'6.3.IPME'!I21</f>
        <v>0.95083501540747817</v>
      </c>
      <c r="K13" s="341">
        <f>'6.3.IPME'!J21</f>
        <v>0.93792056724008865</v>
      </c>
      <c r="L13" s="341">
        <f>'6.3.IPME'!K21</f>
        <v>0.98476043995401552</v>
      </c>
      <c r="M13" s="342">
        <f>'6.3.IPME'!L21</f>
        <v>1.022425849129087</v>
      </c>
    </row>
    <row r="14" spans="2:13">
      <c r="B14" s="95" t="s">
        <v>100</v>
      </c>
      <c r="C14" s="336" t="s">
        <v>227</v>
      </c>
      <c r="D14" s="343">
        <f>'6.3.IPME'!C21</f>
        <v>1</v>
      </c>
      <c r="E14" s="343">
        <f>'6.3.IPME'!D21</f>
        <v>0.96641475426838075</v>
      </c>
      <c r="F14" s="343">
        <f>'6.3.IPME'!E21</f>
        <v>0.95375537256401044</v>
      </c>
      <c r="G14" s="343">
        <f>'6.3.IPME'!F21</f>
        <v>0.96402716013387579</v>
      </c>
      <c r="H14" s="343">
        <f>'6.3.IPME'!G21</f>
        <v>0.96142565699306981</v>
      </c>
      <c r="I14" s="343">
        <f>'6.3.IPME'!H21</f>
        <v>0.9616261095288986</v>
      </c>
      <c r="J14" s="343">
        <f>'6.3.IPME'!I21</f>
        <v>0.95083501540747817</v>
      </c>
      <c r="K14" s="343">
        <f>'6.3.IPME'!J21</f>
        <v>0.93792056724008865</v>
      </c>
      <c r="L14" s="343">
        <f>'6.3.IPME'!K21</f>
        <v>0.98476043995401552</v>
      </c>
      <c r="M14" s="344">
        <f>'6.3.IPME'!L21</f>
        <v>1.022425849129087</v>
      </c>
    </row>
    <row r="15" spans="2:13">
      <c r="B15" s="89" t="s">
        <v>222</v>
      </c>
      <c r="C15" s="81"/>
      <c r="D15" s="345"/>
      <c r="E15" s="345"/>
      <c r="F15" s="345"/>
      <c r="G15" s="345"/>
      <c r="H15" s="345"/>
      <c r="I15" s="345"/>
      <c r="J15" s="345"/>
      <c r="K15" s="345"/>
      <c r="L15" s="345"/>
      <c r="M15" s="346"/>
    </row>
    <row r="16" spans="2:13">
      <c r="B16" s="91" t="s">
        <v>101</v>
      </c>
      <c r="C16" s="337" t="s">
        <v>227</v>
      </c>
      <c r="D16" s="339">
        <f>'6.3.IPME'!C21</f>
        <v>1</v>
      </c>
      <c r="E16" s="339">
        <f>'6.3.IPME'!D21</f>
        <v>0.96641475426838075</v>
      </c>
      <c r="F16" s="339">
        <f>'6.3.IPME'!E21</f>
        <v>0.95375537256401044</v>
      </c>
      <c r="G16" s="339">
        <f>'6.3.IPME'!F21</f>
        <v>0.96402716013387579</v>
      </c>
      <c r="H16" s="339">
        <f>'6.3.IPME'!G21</f>
        <v>0.96142565699306981</v>
      </c>
      <c r="I16" s="339">
        <f>'6.3.IPME'!H21</f>
        <v>0.9616261095288986</v>
      </c>
      <c r="J16" s="339">
        <f>'6.3.IPME'!I21</f>
        <v>0.95083501540747817</v>
      </c>
      <c r="K16" s="339">
        <f>'6.3.IPME'!J21</f>
        <v>0.93792056724008865</v>
      </c>
      <c r="L16" s="339">
        <f>'6.3.IPME'!K21</f>
        <v>0.98476043995401552</v>
      </c>
      <c r="M16" s="340">
        <f>'6.3.IPME'!L21</f>
        <v>1.022425849129087</v>
      </c>
    </row>
    <row r="17" spans="2:13" ht="15" thickBot="1">
      <c r="B17" s="95" t="s">
        <v>102</v>
      </c>
      <c r="C17" s="338" t="s">
        <v>227</v>
      </c>
      <c r="D17" s="343">
        <f>'6.3.IPME'!C21</f>
        <v>1</v>
      </c>
      <c r="E17" s="343">
        <f>'6.3.IPME'!D21</f>
        <v>0.96641475426838075</v>
      </c>
      <c r="F17" s="343">
        <f>'6.3.IPME'!E21</f>
        <v>0.95375537256401044</v>
      </c>
      <c r="G17" s="343">
        <f>'6.3.IPME'!F21</f>
        <v>0.96402716013387579</v>
      </c>
      <c r="H17" s="343">
        <f>'6.3.IPME'!G21</f>
        <v>0.96142565699306981</v>
      </c>
      <c r="I17" s="343">
        <f>'6.3.IPME'!H21</f>
        <v>0.9616261095288986</v>
      </c>
      <c r="J17" s="343">
        <f>'6.3.IPME'!I21</f>
        <v>0.95083501540747817</v>
      </c>
      <c r="K17" s="343">
        <f>'6.3.IPME'!J21</f>
        <v>0.93792056724008865</v>
      </c>
      <c r="L17" s="343">
        <f>'6.3.IPME'!K21</f>
        <v>0.98476043995401552</v>
      </c>
      <c r="M17" s="344">
        <f>'6.3.IPME'!L21</f>
        <v>1.022425849129087</v>
      </c>
    </row>
    <row r="18" spans="2:13">
      <c r="B18" s="89" t="s">
        <v>223</v>
      </c>
      <c r="C18" s="81"/>
      <c r="D18" s="345"/>
      <c r="E18" s="345"/>
      <c r="F18" s="345"/>
      <c r="G18" s="345"/>
      <c r="H18" s="345"/>
      <c r="I18" s="345"/>
      <c r="J18" s="345"/>
      <c r="K18" s="345"/>
      <c r="L18" s="345"/>
      <c r="M18" s="346"/>
    </row>
    <row r="19" spans="2:13">
      <c r="B19" s="91" t="s">
        <v>85</v>
      </c>
      <c r="C19" s="335" t="s">
        <v>227</v>
      </c>
      <c r="D19" s="339">
        <f>'6.3.IPME'!C21</f>
        <v>1</v>
      </c>
      <c r="E19" s="339">
        <f>'6.3.IPME'!D21</f>
        <v>0.96641475426838075</v>
      </c>
      <c r="F19" s="339">
        <f>'6.3.IPME'!E21</f>
        <v>0.95375537256401044</v>
      </c>
      <c r="G19" s="339">
        <f>'6.3.IPME'!F21</f>
        <v>0.96402716013387579</v>
      </c>
      <c r="H19" s="339">
        <f>'6.3.IPME'!G21</f>
        <v>0.96142565699306981</v>
      </c>
      <c r="I19" s="339">
        <f>'6.3.IPME'!H21</f>
        <v>0.9616261095288986</v>
      </c>
      <c r="J19" s="339">
        <f>'6.3.IPME'!I21</f>
        <v>0.95083501540747817</v>
      </c>
      <c r="K19" s="339">
        <f>'6.3.IPME'!J21</f>
        <v>0.93792056724008865</v>
      </c>
      <c r="L19" s="339">
        <f>'6.3.IPME'!K21</f>
        <v>0.98476043995401552</v>
      </c>
      <c r="M19" s="340">
        <f>'6.3.IPME'!L21</f>
        <v>1.022425849129087</v>
      </c>
    </row>
    <row r="20" spans="2:13" ht="15" thickBot="1">
      <c r="B20" s="98" t="s">
        <v>86</v>
      </c>
      <c r="C20" s="338" t="s">
        <v>227</v>
      </c>
      <c r="D20" s="347">
        <f>'6.3.IPME'!C21</f>
        <v>1</v>
      </c>
      <c r="E20" s="347">
        <f>'6.3.IPME'!D21</f>
        <v>0.96641475426838075</v>
      </c>
      <c r="F20" s="347">
        <f>'6.3.IPME'!E21</f>
        <v>0.95375537256401044</v>
      </c>
      <c r="G20" s="347">
        <f>'6.3.IPME'!F21</f>
        <v>0.96402716013387579</v>
      </c>
      <c r="H20" s="347">
        <f>'6.3.IPME'!G21</f>
        <v>0.96142565699306981</v>
      </c>
      <c r="I20" s="347">
        <f>'6.3.IPME'!H21</f>
        <v>0.9616261095288986</v>
      </c>
      <c r="J20" s="347">
        <f>'6.3.IPME'!I21</f>
        <v>0.95083501540747817</v>
      </c>
      <c r="K20" s="347">
        <f>'6.3.IPME'!J21</f>
        <v>0.93792056724008865</v>
      </c>
      <c r="L20" s="347">
        <f>'6.3.IPME'!K21</f>
        <v>0.98476043995401552</v>
      </c>
      <c r="M20" s="348">
        <f>'6.3.IPME'!L21</f>
        <v>1.022425849129087</v>
      </c>
    </row>
    <row r="22" spans="2:13">
      <c r="B22" s="50" t="s">
        <v>231</v>
      </c>
    </row>
    <row r="23" spans="2:13" ht="15" thickBot="1"/>
    <row r="24" spans="2:13">
      <c r="B24" s="88"/>
      <c r="C24" s="311">
        <v>2015</v>
      </c>
      <c r="D24" s="311">
        <v>2016</v>
      </c>
      <c r="E24" s="311">
        <v>2017</v>
      </c>
      <c r="F24" s="311">
        <v>2018</v>
      </c>
      <c r="G24" s="311">
        <v>2019</v>
      </c>
      <c r="H24" s="311">
        <v>2020</v>
      </c>
      <c r="I24" s="311">
        <v>2021</v>
      </c>
      <c r="J24" s="311">
        <v>2022</v>
      </c>
      <c r="K24" s="312">
        <v>2023</v>
      </c>
    </row>
    <row r="25" spans="2:13">
      <c r="B25" s="89" t="s">
        <v>94</v>
      </c>
      <c r="C25" s="80"/>
      <c r="D25" s="80"/>
      <c r="E25" s="80"/>
      <c r="F25" s="80"/>
      <c r="G25" s="80"/>
      <c r="H25" s="80"/>
      <c r="I25" s="80"/>
      <c r="J25" s="80"/>
      <c r="K25" s="90"/>
    </row>
    <row r="26" spans="2:13">
      <c r="B26" s="91" t="s">
        <v>95</v>
      </c>
      <c r="C26" s="349">
        <f>'2.2.3.1.Tasas Deprec'!$C8</f>
        <v>0.1349546222769053</v>
      </c>
      <c r="D26" s="349">
        <f>'2.2.3.1.Tasas Deprec'!$C8</f>
        <v>0.1349546222769053</v>
      </c>
      <c r="E26" s="349">
        <f>'2.2.3.1.Tasas Deprec'!$C8</f>
        <v>0.1349546222769053</v>
      </c>
      <c r="F26" s="349">
        <f>'2.2.3.1.Tasas Deprec'!$C8</f>
        <v>0.1349546222769053</v>
      </c>
      <c r="G26" s="349">
        <f>'2.2.3.1.Tasas Deprec'!$C8</f>
        <v>0.1349546222769053</v>
      </c>
      <c r="H26" s="349">
        <f>'2.2.3.1.Tasas Deprec'!$C8</f>
        <v>0.1349546222769053</v>
      </c>
      <c r="I26" s="349">
        <f>'2.2.3.1.Tasas Deprec'!$C8</f>
        <v>0.1349546222769053</v>
      </c>
      <c r="J26" s="349">
        <f>'2.2.3.1.Tasas Deprec'!$C8</f>
        <v>0.1349546222769053</v>
      </c>
      <c r="K26" s="350">
        <f>'2.2.3.1.Tasas Deprec'!$C8</f>
        <v>0.1349546222769053</v>
      </c>
    </row>
    <row r="27" spans="2:13">
      <c r="B27" s="93" t="s">
        <v>96</v>
      </c>
      <c r="C27" s="351">
        <f>'2.2.3.1.Tasas Deprec'!$C9</f>
        <v>0.10153796576147847</v>
      </c>
      <c r="D27" s="351">
        <f>'2.2.3.1.Tasas Deprec'!$C9</f>
        <v>0.10153796576147847</v>
      </c>
      <c r="E27" s="351">
        <f>'2.2.3.1.Tasas Deprec'!$C9</f>
        <v>0.10153796576147847</v>
      </c>
      <c r="F27" s="351">
        <f>'2.2.3.1.Tasas Deprec'!$C9</f>
        <v>0.10153796576147847</v>
      </c>
      <c r="G27" s="351">
        <f>'2.2.3.1.Tasas Deprec'!$C9</f>
        <v>0.10153796576147847</v>
      </c>
      <c r="H27" s="351">
        <f>'2.2.3.1.Tasas Deprec'!$C9</f>
        <v>0.10153796576147847</v>
      </c>
      <c r="I27" s="351">
        <f>'2.2.3.1.Tasas Deprec'!$C9</f>
        <v>0.10153796576147847</v>
      </c>
      <c r="J27" s="351">
        <f>'2.2.3.1.Tasas Deprec'!$C9</f>
        <v>0.10153796576147847</v>
      </c>
      <c r="K27" s="352">
        <f>'2.2.3.1.Tasas Deprec'!$C9</f>
        <v>0.10153796576147847</v>
      </c>
    </row>
    <row r="28" spans="2:13">
      <c r="B28" s="93" t="s">
        <v>97</v>
      </c>
      <c r="C28" s="351">
        <f>'2.2.3.1.Tasas Deprec'!$C10</f>
        <v>0.13835794972739199</v>
      </c>
      <c r="D28" s="351">
        <f>'2.2.3.1.Tasas Deprec'!$C10</f>
        <v>0.13835794972739199</v>
      </c>
      <c r="E28" s="351">
        <f>'2.2.3.1.Tasas Deprec'!$C10</f>
        <v>0.13835794972739199</v>
      </c>
      <c r="F28" s="351">
        <f>'2.2.3.1.Tasas Deprec'!$C10</f>
        <v>0.13835794972739199</v>
      </c>
      <c r="G28" s="351">
        <f>'2.2.3.1.Tasas Deprec'!$C10</f>
        <v>0.13835794972739199</v>
      </c>
      <c r="H28" s="351">
        <f>'2.2.3.1.Tasas Deprec'!$C10</f>
        <v>0.13835794972739199</v>
      </c>
      <c r="I28" s="351">
        <f>'2.2.3.1.Tasas Deprec'!$C10</f>
        <v>0.13835794972739199</v>
      </c>
      <c r="J28" s="351">
        <f>'2.2.3.1.Tasas Deprec'!$C10</f>
        <v>0.13835794972739199</v>
      </c>
      <c r="K28" s="352">
        <f>'2.2.3.1.Tasas Deprec'!$C10</f>
        <v>0.13835794972739199</v>
      </c>
    </row>
    <row r="29" spans="2:13">
      <c r="B29" s="93" t="s">
        <v>98</v>
      </c>
      <c r="C29" s="351">
        <f>'2.2.3.1.Tasas Deprec'!$C11</f>
        <v>7.9330622666384826E-2</v>
      </c>
      <c r="D29" s="351">
        <f>'2.2.3.1.Tasas Deprec'!$C11</f>
        <v>7.9330622666384826E-2</v>
      </c>
      <c r="E29" s="351">
        <f>'2.2.3.1.Tasas Deprec'!$C11</f>
        <v>7.9330622666384826E-2</v>
      </c>
      <c r="F29" s="351">
        <f>'2.2.3.1.Tasas Deprec'!$C11</f>
        <v>7.9330622666384826E-2</v>
      </c>
      <c r="G29" s="351">
        <f>'2.2.3.1.Tasas Deprec'!$C11</f>
        <v>7.9330622666384826E-2</v>
      </c>
      <c r="H29" s="351">
        <f>'2.2.3.1.Tasas Deprec'!$C11</f>
        <v>7.9330622666384826E-2</v>
      </c>
      <c r="I29" s="351">
        <f>'2.2.3.1.Tasas Deprec'!$C11</f>
        <v>7.9330622666384826E-2</v>
      </c>
      <c r="J29" s="351">
        <f>'2.2.3.1.Tasas Deprec'!$C11</f>
        <v>7.9330622666384826E-2</v>
      </c>
      <c r="K29" s="352">
        <f>'2.2.3.1.Tasas Deprec'!$C11</f>
        <v>7.9330622666384826E-2</v>
      </c>
    </row>
    <row r="30" spans="2:13">
      <c r="B30" s="93" t="s">
        <v>99</v>
      </c>
      <c r="C30" s="351">
        <f>'2.2.3.1.Tasas Deprec'!$C12</f>
        <v>0.12975169995141561</v>
      </c>
      <c r="D30" s="351">
        <f>'2.2.3.1.Tasas Deprec'!$C12</f>
        <v>0.12975169995141561</v>
      </c>
      <c r="E30" s="351">
        <f>'2.2.3.1.Tasas Deprec'!$C12</f>
        <v>0.12975169995141561</v>
      </c>
      <c r="F30" s="351">
        <f>'2.2.3.1.Tasas Deprec'!$C12</f>
        <v>0.12975169995141561</v>
      </c>
      <c r="G30" s="351">
        <f>'2.2.3.1.Tasas Deprec'!$C12</f>
        <v>0.12975169995141561</v>
      </c>
      <c r="H30" s="351">
        <f>'2.2.3.1.Tasas Deprec'!$C12</f>
        <v>0.12975169995141561</v>
      </c>
      <c r="I30" s="351">
        <f>'2.2.3.1.Tasas Deprec'!$C12</f>
        <v>0.12975169995141561</v>
      </c>
      <c r="J30" s="351">
        <f>'2.2.3.1.Tasas Deprec'!$C12</f>
        <v>0.12975169995141561</v>
      </c>
      <c r="K30" s="352">
        <f>'2.2.3.1.Tasas Deprec'!$C12</f>
        <v>0.12975169995141561</v>
      </c>
    </row>
    <row r="31" spans="2:13">
      <c r="B31" s="95" t="s">
        <v>100</v>
      </c>
      <c r="C31" s="353">
        <f>'2.2.3.1.Tasas Deprec'!$C13</f>
        <v>0.10891767088588047</v>
      </c>
      <c r="D31" s="353">
        <f>'2.2.3.1.Tasas Deprec'!$C13</f>
        <v>0.10891767088588047</v>
      </c>
      <c r="E31" s="353">
        <f>'2.2.3.1.Tasas Deprec'!$C13</f>
        <v>0.10891767088588047</v>
      </c>
      <c r="F31" s="353">
        <f>'2.2.3.1.Tasas Deprec'!$C13</f>
        <v>0.10891767088588047</v>
      </c>
      <c r="G31" s="353">
        <f>'2.2.3.1.Tasas Deprec'!$C13</f>
        <v>0.10891767088588047</v>
      </c>
      <c r="H31" s="353">
        <f>'2.2.3.1.Tasas Deprec'!$C13</f>
        <v>0.10891767088588047</v>
      </c>
      <c r="I31" s="353">
        <f>'2.2.3.1.Tasas Deprec'!$C13</f>
        <v>0.10891767088588047</v>
      </c>
      <c r="J31" s="353">
        <f>'2.2.3.1.Tasas Deprec'!$C13</f>
        <v>0.10891767088588047</v>
      </c>
      <c r="K31" s="354">
        <f>'2.2.3.1.Tasas Deprec'!$C13</f>
        <v>0.10891767088588047</v>
      </c>
    </row>
    <row r="32" spans="2:13">
      <c r="B32" s="89" t="s">
        <v>222</v>
      </c>
      <c r="C32" s="355"/>
      <c r="D32" s="355"/>
      <c r="E32" s="355"/>
      <c r="F32" s="355"/>
      <c r="G32" s="355"/>
      <c r="H32" s="355"/>
      <c r="I32" s="355"/>
      <c r="J32" s="355"/>
      <c r="K32" s="356"/>
    </row>
    <row r="33" spans="2:11">
      <c r="B33" s="91" t="s">
        <v>101</v>
      </c>
      <c r="C33" s="349">
        <f>'2.2.3.1.Tasas Deprec'!$C15</f>
        <v>0.23177970043185064</v>
      </c>
      <c r="D33" s="349">
        <f>'2.2.3.1.Tasas Deprec'!$C15</f>
        <v>0.23177970043185064</v>
      </c>
      <c r="E33" s="349">
        <f>'2.2.3.1.Tasas Deprec'!$C15</f>
        <v>0.23177970043185064</v>
      </c>
      <c r="F33" s="349">
        <f>'2.2.3.1.Tasas Deprec'!$C15</f>
        <v>0.23177970043185064</v>
      </c>
      <c r="G33" s="349">
        <f>'2.2.3.1.Tasas Deprec'!$C15</f>
        <v>0.23177970043185064</v>
      </c>
      <c r="H33" s="349">
        <f>'2.2.3.1.Tasas Deprec'!$C15</f>
        <v>0.23177970043185064</v>
      </c>
      <c r="I33" s="349">
        <f>'2.2.3.1.Tasas Deprec'!$C15</f>
        <v>0.23177970043185064</v>
      </c>
      <c r="J33" s="349">
        <f>'2.2.3.1.Tasas Deprec'!$C15</f>
        <v>0.23177970043185064</v>
      </c>
      <c r="K33" s="350">
        <f>'2.2.3.1.Tasas Deprec'!$C15</f>
        <v>0.23177970043185064</v>
      </c>
    </row>
    <row r="34" spans="2:11">
      <c r="B34" s="95" t="s">
        <v>102</v>
      </c>
      <c r="C34" s="353">
        <f>'2.2.3.1.Tasas Deprec'!$C16</f>
        <v>3.4771204606577191E-2</v>
      </c>
      <c r="D34" s="353">
        <f>'2.2.3.1.Tasas Deprec'!$C16</f>
        <v>3.4771204606577191E-2</v>
      </c>
      <c r="E34" s="353">
        <f>'2.2.3.1.Tasas Deprec'!$C16</f>
        <v>3.4771204606577191E-2</v>
      </c>
      <c r="F34" s="353">
        <f>'2.2.3.1.Tasas Deprec'!$C16</f>
        <v>3.4771204606577191E-2</v>
      </c>
      <c r="G34" s="353">
        <f>'2.2.3.1.Tasas Deprec'!$C16</f>
        <v>3.4771204606577191E-2</v>
      </c>
      <c r="H34" s="353">
        <f>'2.2.3.1.Tasas Deprec'!$C16</f>
        <v>3.4771204606577191E-2</v>
      </c>
      <c r="I34" s="353">
        <f>'2.2.3.1.Tasas Deprec'!$C16</f>
        <v>3.4771204606577191E-2</v>
      </c>
      <c r="J34" s="353">
        <f>'2.2.3.1.Tasas Deprec'!$C16</f>
        <v>3.4771204606577191E-2</v>
      </c>
      <c r="K34" s="354">
        <f>'2.2.3.1.Tasas Deprec'!$C16</f>
        <v>3.4771204606577191E-2</v>
      </c>
    </row>
    <row r="35" spans="2:11">
      <c r="B35" s="89" t="s">
        <v>223</v>
      </c>
      <c r="C35" s="355"/>
      <c r="D35" s="355"/>
      <c r="E35" s="355"/>
      <c r="F35" s="355"/>
      <c r="G35" s="355"/>
      <c r="H35" s="355"/>
      <c r="I35" s="355"/>
      <c r="J35" s="355"/>
      <c r="K35" s="356"/>
    </row>
    <row r="36" spans="2:11">
      <c r="B36" s="91" t="s">
        <v>85</v>
      </c>
      <c r="C36" s="349">
        <f>'2.2.3.1.Tasas Deprec'!$C18</f>
        <v>3.3333333333333333E-2</v>
      </c>
      <c r="D36" s="349">
        <f>'2.2.3.1.Tasas Deprec'!$C18</f>
        <v>3.3333333333333333E-2</v>
      </c>
      <c r="E36" s="349">
        <f>'2.2.3.1.Tasas Deprec'!$C18</f>
        <v>3.3333333333333333E-2</v>
      </c>
      <c r="F36" s="349">
        <f>'2.2.3.1.Tasas Deprec'!$C18</f>
        <v>3.3333333333333333E-2</v>
      </c>
      <c r="G36" s="349">
        <f>'2.2.3.1.Tasas Deprec'!$C18</f>
        <v>3.3333333333333333E-2</v>
      </c>
      <c r="H36" s="349">
        <f>'2.2.3.1.Tasas Deprec'!$C18</f>
        <v>3.3333333333333333E-2</v>
      </c>
      <c r="I36" s="349">
        <f>'2.2.3.1.Tasas Deprec'!$C18</f>
        <v>3.3333333333333333E-2</v>
      </c>
      <c r="J36" s="349">
        <f>'2.2.3.1.Tasas Deprec'!$C18</f>
        <v>3.3333333333333333E-2</v>
      </c>
      <c r="K36" s="350">
        <f>'2.2.3.1.Tasas Deprec'!$C18</f>
        <v>3.3333333333333333E-2</v>
      </c>
    </row>
    <row r="37" spans="2:11" ht="15" thickBot="1">
      <c r="B37" s="98" t="s">
        <v>86</v>
      </c>
      <c r="C37" s="357">
        <f>'2.2.3.1.Tasas Deprec'!$C19</f>
        <v>0.1</v>
      </c>
      <c r="D37" s="357">
        <f>'2.2.3.1.Tasas Deprec'!$C19</f>
        <v>0.1</v>
      </c>
      <c r="E37" s="357">
        <f>'2.2.3.1.Tasas Deprec'!$C19</f>
        <v>0.1</v>
      </c>
      <c r="F37" s="357">
        <f>'2.2.3.1.Tasas Deprec'!$C19</f>
        <v>0.1</v>
      </c>
      <c r="G37" s="357">
        <f>'2.2.3.1.Tasas Deprec'!$C19</f>
        <v>0.1</v>
      </c>
      <c r="H37" s="357">
        <f>'2.2.3.1.Tasas Deprec'!$C19</f>
        <v>0.1</v>
      </c>
      <c r="I37" s="357">
        <f>'2.2.3.1.Tasas Deprec'!$C19</f>
        <v>0.1</v>
      </c>
      <c r="J37" s="357">
        <f>'2.2.3.1.Tasas Deprec'!$C19</f>
        <v>0.1</v>
      </c>
      <c r="K37" s="358">
        <f>'2.2.3.1.Tasas Deprec'!$C19</f>
        <v>0.1</v>
      </c>
    </row>
    <row r="39" spans="2:11">
      <c r="B39" s="50" t="s">
        <v>232</v>
      </c>
    </row>
    <row r="40" spans="2:11" ht="15" thickBot="1"/>
    <row r="41" spans="2:11">
      <c r="B41" s="88"/>
      <c r="C41" s="311">
        <v>2015</v>
      </c>
      <c r="D41" s="311">
        <v>2016</v>
      </c>
      <c r="E41" s="311">
        <v>2017</v>
      </c>
      <c r="F41" s="311">
        <v>2018</v>
      </c>
      <c r="G41" s="311">
        <v>2019</v>
      </c>
      <c r="H41" s="311">
        <v>2020</v>
      </c>
      <c r="I41" s="311">
        <v>2021</v>
      </c>
      <c r="J41" s="311">
        <v>2022</v>
      </c>
      <c r="K41" s="312">
        <v>2023</v>
      </c>
    </row>
    <row r="42" spans="2:11" ht="15" thickBot="1">
      <c r="B42" s="359" t="s">
        <v>123</v>
      </c>
      <c r="C42" s="360">
        <f>'2.2.3.8.WACC'!C29</f>
        <v>9.3402788797360789E-2</v>
      </c>
      <c r="D42" s="360">
        <f>'2.2.3.8.WACC'!D29</f>
        <v>0.10734984744596343</v>
      </c>
      <c r="E42" s="360">
        <f>'2.2.3.8.WACC'!E29</f>
        <v>0.10136883501869023</v>
      </c>
      <c r="F42" s="360">
        <f>'2.2.3.8.WACC'!F29</f>
        <v>7.9428858497905777E-2</v>
      </c>
      <c r="G42" s="360">
        <f>'2.2.3.8.WACC'!G29</f>
        <v>7.8130753518996482E-2</v>
      </c>
      <c r="H42" s="360">
        <f>'2.2.3.8.WACC'!H29</f>
        <v>6.9891088065151832E-2</v>
      </c>
      <c r="I42" s="360">
        <f>'2.2.3.8.WACC'!I29</f>
        <v>4.2752058266063812E-2</v>
      </c>
      <c r="J42" s="360">
        <f>'2.2.3.8.WACC'!J29</f>
        <v>5.5724134213513861E-2</v>
      </c>
      <c r="K42" s="361">
        <f>'2.2.3.8.WACC'!K29</f>
        <v>7.7656413106797439E-2</v>
      </c>
    </row>
    <row r="44" spans="2:11">
      <c r="B44" s="50" t="s">
        <v>233</v>
      </c>
    </row>
    <row r="45" spans="2:11" ht="15" thickBot="1"/>
    <row r="46" spans="2:11">
      <c r="B46" s="88"/>
      <c r="C46" s="311">
        <v>2015</v>
      </c>
      <c r="D46" s="311">
        <v>2016</v>
      </c>
      <c r="E46" s="311">
        <v>2017</v>
      </c>
      <c r="F46" s="311">
        <v>2018</v>
      </c>
      <c r="G46" s="311">
        <v>2019</v>
      </c>
      <c r="H46" s="311">
        <v>2020</v>
      </c>
      <c r="I46" s="311">
        <v>2021</v>
      </c>
      <c r="J46" s="311">
        <v>2022</v>
      </c>
      <c r="K46" s="312">
        <v>2023</v>
      </c>
    </row>
    <row r="47" spans="2:11" ht="15" thickBot="1">
      <c r="B47" s="359" t="s">
        <v>234</v>
      </c>
      <c r="C47" s="360">
        <f>'6.4 Tasa Impuestos'!C7</f>
        <v>0.316</v>
      </c>
      <c r="D47" s="360">
        <f>'6.4 Tasa Impuestos'!D7</f>
        <v>0.316</v>
      </c>
      <c r="E47" s="360">
        <f>'6.4 Tasa Impuestos'!E7</f>
        <v>0.33024999999999999</v>
      </c>
      <c r="F47" s="360">
        <f>'6.4 Tasa Impuestos'!F7</f>
        <v>0.33024999999999999</v>
      </c>
      <c r="G47" s="360">
        <f>'6.4 Tasa Impuestos'!G7</f>
        <v>0.33024999999999999</v>
      </c>
      <c r="H47" s="360">
        <f>'6.4 Tasa Impuestos'!H7</f>
        <v>0.33024999999999999</v>
      </c>
      <c r="I47" s="360">
        <f>'6.4 Tasa Impuestos'!I7</f>
        <v>0.33024999999999999</v>
      </c>
      <c r="J47" s="360">
        <f>'6.4 Tasa Impuestos'!J7</f>
        <v>0.33024999999999999</v>
      </c>
      <c r="K47" s="361">
        <f>'6.4 Tasa Impuestos'!K7</f>
        <v>0.33024999999999999</v>
      </c>
    </row>
    <row r="49" spans="2:16">
      <c r="B49" s="50" t="s">
        <v>235</v>
      </c>
    </row>
    <row r="50" spans="2:16" ht="15" thickBot="1"/>
    <row r="51" spans="2:16">
      <c r="B51" s="88"/>
      <c r="C51" s="311">
        <v>2015</v>
      </c>
      <c r="D51" s="311">
        <v>2016</v>
      </c>
      <c r="E51" s="311">
        <v>2017</v>
      </c>
      <c r="F51" s="311">
        <v>2018</v>
      </c>
      <c r="G51" s="311">
        <v>2019</v>
      </c>
      <c r="H51" s="311">
        <v>2020</v>
      </c>
      <c r="I51" s="311">
        <v>2021</v>
      </c>
      <c r="J51" s="311">
        <v>2022</v>
      </c>
      <c r="K51" s="312">
        <v>2023</v>
      </c>
    </row>
    <row r="52" spans="2:16">
      <c r="B52" s="89" t="s">
        <v>94</v>
      </c>
      <c r="C52" s="80"/>
      <c r="D52" s="80"/>
      <c r="E52" s="80"/>
      <c r="F52" s="80"/>
      <c r="G52" s="80"/>
      <c r="H52" s="80"/>
      <c r="I52" s="80"/>
      <c r="J52" s="80"/>
      <c r="K52" s="90"/>
    </row>
    <row r="53" spans="2:16">
      <c r="B53" s="91" t="s">
        <v>95</v>
      </c>
      <c r="C53" s="339">
        <f t="shared" ref="C53:K58" si="0">(C$42*D9+C26*E9-(E9-D9))/(1-C$47)</f>
        <v>0.37633066177499652</v>
      </c>
      <c r="D53" s="339">
        <f t="shared" si="0"/>
        <v>0.35835899735899762</v>
      </c>
      <c r="E53" s="339">
        <f t="shared" si="0"/>
        <v>0.32326868936216518</v>
      </c>
      <c r="F53" s="339">
        <f t="shared" si="0"/>
        <v>0.31194015142671561</v>
      </c>
      <c r="G53" s="339">
        <f t="shared" si="0"/>
        <v>0.30562500467430903</v>
      </c>
      <c r="H53" s="339">
        <f t="shared" si="0"/>
        <v>0.3080549004557307</v>
      </c>
      <c r="I53" s="339">
        <f t="shared" si="0"/>
        <v>0.26896800003752236</v>
      </c>
      <c r="J53" s="339">
        <f t="shared" si="0"/>
        <v>0.20652917068131113</v>
      </c>
      <c r="K53" s="340">
        <f t="shared" si="0"/>
        <v>0.26396214802029005</v>
      </c>
      <c r="N53" s="393"/>
      <c r="P53" s="396"/>
    </row>
    <row r="54" spans="2:16">
      <c r="B54" s="93" t="s">
        <v>96</v>
      </c>
      <c r="C54" s="341">
        <f t="shared" si="0"/>
        <v>0.32911669994045395</v>
      </c>
      <c r="D54" s="341">
        <f t="shared" si="0"/>
        <v>0.31176350659187119</v>
      </c>
      <c r="E54" s="341">
        <f t="shared" si="0"/>
        <v>0.27516930230470182</v>
      </c>
      <c r="F54" s="341">
        <f t="shared" si="0"/>
        <v>0.26397056434966298</v>
      </c>
      <c r="G54" s="341">
        <f t="shared" si="0"/>
        <v>0.25764541617353492</v>
      </c>
      <c r="H54" s="341">
        <f t="shared" si="0"/>
        <v>0.26061372522211779</v>
      </c>
      <c r="I54" s="341">
        <f t="shared" si="0"/>
        <v>0.22217118117344425</v>
      </c>
      <c r="J54" s="341">
        <f t="shared" si="0"/>
        <v>0.15739531271651241</v>
      </c>
      <c r="K54" s="342">
        <f t="shared" si="0"/>
        <v>0.21294900369354083</v>
      </c>
      <c r="N54" s="393"/>
      <c r="P54" s="396"/>
    </row>
    <row r="55" spans="2:16">
      <c r="B55" s="93" t="s">
        <v>97</v>
      </c>
      <c r="C55" s="341">
        <f t="shared" si="0"/>
        <v>0.38113917911674644</v>
      </c>
      <c r="D55" s="341">
        <f t="shared" si="0"/>
        <v>0.36310452636557111</v>
      </c>
      <c r="E55" s="341">
        <f t="shared" si="0"/>
        <v>0.32816738304950877</v>
      </c>
      <c r="F55" s="341">
        <f t="shared" si="0"/>
        <v>0.31682562560371708</v>
      </c>
      <c r="G55" s="341">
        <f t="shared" si="0"/>
        <v>0.31051149744872397</v>
      </c>
      <c r="H55" s="341">
        <f t="shared" si="0"/>
        <v>0.31288655840096435</v>
      </c>
      <c r="I55" s="341">
        <f t="shared" si="0"/>
        <v>0.27373403335273588</v>
      </c>
      <c r="J55" s="341">
        <f t="shared" si="0"/>
        <v>0.21153322030796112</v>
      </c>
      <c r="K55" s="342">
        <f t="shared" si="0"/>
        <v>0.2691575940201828</v>
      </c>
      <c r="N55" s="393"/>
      <c r="P55" s="396"/>
    </row>
    <row r="56" spans="2:16">
      <c r="B56" s="93" t="s">
        <v>98</v>
      </c>
      <c r="C56" s="341">
        <f t="shared" si="0"/>
        <v>0.29774023207466666</v>
      </c>
      <c r="D56" s="341">
        <f t="shared" si="0"/>
        <v>0.28079804930047081</v>
      </c>
      <c r="E56" s="341">
        <f t="shared" si="0"/>
        <v>0.24320441705187351</v>
      </c>
      <c r="F56" s="341">
        <f t="shared" si="0"/>
        <v>0.232091938854671</v>
      </c>
      <c r="G56" s="341">
        <f t="shared" si="0"/>
        <v>0.22576014414142095</v>
      </c>
      <c r="H56" s="341">
        <f t="shared" si="0"/>
        <v>0.22908626062490611</v>
      </c>
      <c r="I56" s="341">
        <f t="shared" si="0"/>
        <v>0.19107192946363388</v>
      </c>
      <c r="J56" s="341">
        <f t="shared" si="0"/>
        <v>0.12474296041112355</v>
      </c>
      <c r="K56" s="342">
        <f t="shared" si="0"/>
        <v>0.17904775453952501</v>
      </c>
      <c r="N56" s="393"/>
      <c r="P56" s="396"/>
    </row>
    <row r="57" spans="2:16">
      <c r="B57" s="93" t="s">
        <v>99</v>
      </c>
      <c r="C57" s="341">
        <f t="shared" si="0"/>
        <v>0.3689795201073568</v>
      </c>
      <c r="D57" s="341">
        <f t="shared" si="0"/>
        <v>0.35110415069091422</v>
      </c>
      <c r="E57" s="341">
        <f t="shared" si="0"/>
        <v>0.31577968834112907</v>
      </c>
      <c r="F57" s="341">
        <f t="shared" si="0"/>
        <v>0.3044713600641657</v>
      </c>
      <c r="G57" s="341">
        <f t="shared" si="0"/>
        <v>0.29815465610537778</v>
      </c>
      <c r="H57" s="341">
        <f t="shared" si="0"/>
        <v>0.30066838200926427</v>
      </c>
      <c r="I57" s="341">
        <f t="shared" si="0"/>
        <v>0.26168180689257364</v>
      </c>
      <c r="J57" s="341">
        <f t="shared" si="0"/>
        <v>0.19887910412170559</v>
      </c>
      <c r="K57" s="342">
        <f t="shared" si="0"/>
        <v>0.25601947944755177</v>
      </c>
      <c r="N57" s="393"/>
      <c r="P57" s="396"/>
    </row>
    <row r="58" spans="2:16">
      <c r="B58" s="95" t="s">
        <v>100</v>
      </c>
      <c r="C58" s="343">
        <f t="shared" si="0"/>
        <v>0.33954338987374649</v>
      </c>
      <c r="D58" s="343">
        <f t="shared" si="0"/>
        <v>0.32205361391692466</v>
      </c>
      <c r="E58" s="343">
        <f t="shared" si="0"/>
        <v>0.28579152876786368</v>
      </c>
      <c r="F58" s="343">
        <f t="shared" si="0"/>
        <v>0.27456412589896245</v>
      </c>
      <c r="G58" s="343">
        <f t="shared" si="0"/>
        <v>0.26824118642847961</v>
      </c>
      <c r="H58" s="343">
        <f t="shared" si="0"/>
        <v>0.27109059276323522</v>
      </c>
      <c r="I58" s="343">
        <f t="shared" si="0"/>
        <v>0.23250574961889958</v>
      </c>
      <c r="J58" s="343">
        <f t="shared" si="0"/>
        <v>0.1682459908278032</v>
      </c>
      <c r="K58" s="344">
        <f t="shared" si="0"/>
        <v>0.22421470175720482</v>
      </c>
      <c r="N58" s="393"/>
      <c r="P58" s="396"/>
    </row>
    <row r="59" spans="2:16">
      <c r="B59" s="89" t="s">
        <v>222</v>
      </c>
      <c r="C59" s="345"/>
      <c r="D59" s="345"/>
      <c r="E59" s="345"/>
      <c r="F59" s="345"/>
      <c r="G59" s="345"/>
      <c r="H59" s="345"/>
      <c r="I59" s="345"/>
      <c r="J59" s="345"/>
      <c r="K59" s="346"/>
      <c r="N59" s="393"/>
      <c r="P59" s="396"/>
    </row>
    <row r="60" spans="2:16">
      <c r="B60" s="91" t="s">
        <v>101</v>
      </c>
      <c r="C60" s="339">
        <f t="shared" ref="C60:K61" si="1">(C$42*D16+C33*E16-(E16-D16))/(1-C$47)</f>
        <v>0.51313356252372211</v>
      </c>
      <c r="D60" s="339">
        <f t="shared" si="1"/>
        <v>0.49336987234322172</v>
      </c>
      <c r="E60" s="339">
        <f t="shared" si="1"/>
        <v>0.46263711806459523</v>
      </c>
      <c r="F60" s="339">
        <f t="shared" si="1"/>
        <v>0.45093248345885245</v>
      </c>
      <c r="G60" s="339">
        <f t="shared" si="1"/>
        <v>0.44464631592622628</v>
      </c>
      <c r="H60" s="339">
        <f t="shared" si="1"/>
        <v>0.4455161541762051</v>
      </c>
      <c r="I60" s="339">
        <f t="shared" si="1"/>
        <v>0.40456222508590195</v>
      </c>
      <c r="J60" s="339">
        <f t="shared" si="1"/>
        <v>0.34889498861702728</v>
      </c>
      <c r="K60" s="340">
        <f t="shared" si="1"/>
        <v>0.41177321595543032</v>
      </c>
      <c r="N60" s="393"/>
      <c r="P60" s="396"/>
    </row>
    <row r="61" spans="2:16">
      <c r="B61" s="95" t="s">
        <v>102</v>
      </c>
      <c r="C61" s="343">
        <f t="shared" si="1"/>
        <v>0.23478280655622946</v>
      </c>
      <c r="D61" s="343">
        <f t="shared" si="1"/>
        <v>0.21866532360914431</v>
      </c>
      <c r="E61" s="343">
        <f t="shared" si="1"/>
        <v>0.17906632186797727</v>
      </c>
      <c r="F61" s="343">
        <f t="shared" si="1"/>
        <v>0.16812692536698243</v>
      </c>
      <c r="G61" s="343">
        <f t="shared" si="1"/>
        <v>0.16178179426202632</v>
      </c>
      <c r="H61" s="343">
        <f t="shared" si="1"/>
        <v>0.16582585755294574</v>
      </c>
      <c r="I61" s="343">
        <f t="shared" si="1"/>
        <v>0.12867074295741063</v>
      </c>
      <c r="J61" s="343">
        <f t="shared" si="1"/>
        <v>5.9225450694556057E-2</v>
      </c>
      <c r="K61" s="344">
        <f t="shared" si="1"/>
        <v>0.11102431169294524</v>
      </c>
      <c r="N61" s="393"/>
      <c r="P61" s="396"/>
    </row>
    <row r="62" spans="2:16">
      <c r="B62" s="89" t="s">
        <v>223</v>
      </c>
      <c r="C62" s="345"/>
      <c r="D62" s="345"/>
      <c r="E62" s="345"/>
      <c r="F62" s="345"/>
      <c r="G62" s="345"/>
      <c r="H62" s="345"/>
      <c r="I62" s="345"/>
      <c r="J62" s="345"/>
      <c r="K62" s="346"/>
      <c r="N62" s="393"/>
      <c r="P62" s="396"/>
    </row>
    <row r="63" spans="2:16">
      <c r="B63" s="91" t="s">
        <v>85</v>
      </c>
      <c r="C63" s="339">
        <f t="shared" ref="C63:K64" si="2">(C$42*D19+C36*E19-(E19-D19))/(1-C$47)</f>
        <v>0.2327512568293266</v>
      </c>
      <c r="D63" s="339">
        <f t="shared" si="2"/>
        <v>0.21666038581395164</v>
      </c>
      <c r="E63" s="339">
        <f t="shared" si="2"/>
        <v>0.17699667355116749</v>
      </c>
      <c r="F63" s="339">
        <f t="shared" si="2"/>
        <v>0.16606286215899446</v>
      </c>
      <c r="G63" s="339">
        <f t="shared" si="2"/>
        <v>0.15971730070697915</v>
      </c>
      <c r="H63" s="339">
        <f t="shared" si="2"/>
        <v>0.16378453115615771</v>
      </c>
      <c r="I63" s="339">
        <f t="shared" si="2"/>
        <v>0.12665714230012193</v>
      </c>
      <c r="J63" s="339">
        <f t="shared" si="2"/>
        <v>5.7111290563705945E-2</v>
      </c>
      <c r="K63" s="340">
        <f t="shared" si="2"/>
        <v>0.10882928853880613</v>
      </c>
      <c r="N63" s="393"/>
      <c r="P63" s="396"/>
    </row>
    <row r="64" spans="2:16" ht="15" thickBot="1">
      <c r="B64" s="98" t="s">
        <v>86</v>
      </c>
      <c r="C64" s="347">
        <f t="shared" si="2"/>
        <v>0.32694372800558208</v>
      </c>
      <c r="D64" s="347">
        <f t="shared" si="2"/>
        <v>0.30961899912428403</v>
      </c>
      <c r="E64" s="347">
        <f t="shared" si="2"/>
        <v>0.27295557962396838</v>
      </c>
      <c r="F64" s="347">
        <f t="shared" si="2"/>
        <v>0.26176281557375819</v>
      </c>
      <c r="G64" s="347">
        <f t="shared" si="2"/>
        <v>0.25543720709283441</v>
      </c>
      <c r="H64" s="347">
        <f t="shared" si="2"/>
        <v>0.25843029603434392</v>
      </c>
      <c r="I64" s="347">
        <f t="shared" si="2"/>
        <v>0.22001740779621135</v>
      </c>
      <c r="J64" s="347">
        <f t="shared" si="2"/>
        <v>0.1551339796222119</v>
      </c>
      <c r="K64" s="348">
        <f t="shared" si="2"/>
        <v>0.21060117846082552</v>
      </c>
      <c r="N64" s="393"/>
      <c r="P64" s="396"/>
    </row>
    <row r="65" spans="3:16">
      <c r="P65" s="396"/>
    </row>
    <row r="66" spans="3:16">
      <c r="C66" s="393"/>
      <c r="D66" s="394"/>
      <c r="E66" s="394"/>
      <c r="F66" s="394"/>
      <c r="G66" s="394"/>
      <c r="H66" s="394"/>
      <c r="I66" s="394"/>
      <c r="J66" s="394"/>
      <c r="K66" s="394"/>
      <c r="L66" s="394"/>
    </row>
    <row r="67" spans="3:16">
      <c r="C67" s="393"/>
      <c r="D67" s="394"/>
      <c r="E67" s="394"/>
      <c r="F67" s="394"/>
      <c r="G67" s="394"/>
      <c r="H67" s="394"/>
      <c r="I67" s="394"/>
      <c r="J67" s="394"/>
      <c r="K67" s="394"/>
      <c r="L67" s="394"/>
    </row>
    <row r="68" spans="3:16">
      <c r="C68" s="393"/>
      <c r="D68" s="394"/>
      <c r="E68" s="394"/>
      <c r="F68" s="394"/>
      <c r="G68" s="394"/>
      <c r="H68" s="394"/>
      <c r="I68" s="394"/>
      <c r="J68" s="394"/>
      <c r="K68" s="394"/>
      <c r="L68" s="394"/>
    </row>
    <row r="69" spans="3:16">
      <c r="C69" s="393"/>
      <c r="D69" s="394"/>
      <c r="E69" s="394"/>
      <c r="F69" s="394"/>
      <c r="G69" s="394"/>
      <c r="H69" s="394"/>
      <c r="I69" s="394"/>
      <c r="J69" s="394"/>
      <c r="K69" s="394"/>
      <c r="L69" s="394"/>
    </row>
    <row r="70" spans="3:16">
      <c r="C70" s="393"/>
      <c r="D70" s="394"/>
      <c r="E70" s="394"/>
      <c r="F70" s="394"/>
      <c r="G70" s="394"/>
      <c r="H70" s="394"/>
      <c r="I70" s="394"/>
      <c r="J70" s="394"/>
      <c r="K70" s="394"/>
      <c r="L70" s="394"/>
    </row>
    <row r="71" spans="3:16">
      <c r="C71" s="393"/>
      <c r="D71" s="394"/>
      <c r="E71" s="394"/>
      <c r="F71" s="394"/>
      <c r="G71" s="394"/>
      <c r="H71" s="394"/>
      <c r="I71" s="394"/>
      <c r="J71" s="394"/>
      <c r="K71" s="394"/>
      <c r="L71" s="394"/>
    </row>
    <row r="72" spans="3:16">
      <c r="C72" s="393"/>
      <c r="D72" s="394"/>
      <c r="E72" s="394"/>
      <c r="F72" s="394"/>
      <c r="G72" s="394"/>
      <c r="H72" s="394"/>
      <c r="I72" s="394"/>
      <c r="J72" s="394"/>
      <c r="K72" s="394"/>
      <c r="L72" s="394"/>
    </row>
    <row r="73" spans="3:16">
      <c r="C73" s="393"/>
      <c r="D73" s="394"/>
      <c r="E73" s="394"/>
      <c r="F73" s="394"/>
      <c r="G73" s="394"/>
      <c r="H73" s="394"/>
      <c r="I73" s="394"/>
      <c r="J73" s="394"/>
      <c r="K73" s="394"/>
      <c r="L73" s="394"/>
    </row>
    <row r="74" spans="3:16">
      <c r="C74" s="393"/>
      <c r="D74" s="394"/>
      <c r="E74" s="394"/>
      <c r="F74" s="394"/>
      <c r="G74" s="394"/>
      <c r="H74" s="394"/>
      <c r="I74" s="394"/>
      <c r="J74" s="394"/>
      <c r="K74" s="394"/>
      <c r="L74" s="394"/>
    </row>
    <row r="75" spans="3:16">
      <c r="C75" s="393"/>
      <c r="D75" s="394"/>
      <c r="E75" s="394"/>
      <c r="F75" s="394"/>
      <c r="G75" s="394"/>
      <c r="H75" s="394"/>
      <c r="I75" s="394"/>
      <c r="J75" s="394"/>
      <c r="K75" s="394"/>
      <c r="L75" s="394"/>
    </row>
    <row r="76" spans="3:16">
      <c r="C76" s="393"/>
      <c r="D76" s="394"/>
      <c r="E76" s="394"/>
      <c r="F76" s="394"/>
      <c r="G76" s="394"/>
      <c r="H76" s="394"/>
      <c r="I76" s="394"/>
      <c r="J76" s="394"/>
      <c r="K76" s="394"/>
      <c r="L76" s="394"/>
    </row>
    <row r="77" spans="3:16">
      <c r="C77" s="393"/>
      <c r="D77" s="394"/>
      <c r="E77" s="394"/>
      <c r="F77" s="394"/>
      <c r="G77" s="394"/>
      <c r="H77" s="394"/>
      <c r="I77" s="394"/>
      <c r="J77" s="394"/>
      <c r="K77" s="394"/>
      <c r="L77" s="394"/>
    </row>
    <row r="80" spans="3:16">
      <c r="D80" s="392"/>
      <c r="E80" s="392"/>
      <c r="F80" s="392"/>
      <c r="G80" s="392"/>
      <c r="H80" s="392"/>
      <c r="I80" s="392"/>
      <c r="J80" s="392"/>
      <c r="K80" s="392"/>
      <c r="L80" s="392"/>
    </row>
    <row r="81" spans="3:17">
      <c r="C81" s="392"/>
      <c r="D81" s="392"/>
      <c r="E81" s="392"/>
      <c r="F81" s="392"/>
      <c r="G81" s="392"/>
      <c r="H81" s="392"/>
      <c r="I81" s="392"/>
      <c r="J81" s="392"/>
      <c r="K81" s="392"/>
      <c r="L81" s="392"/>
    </row>
    <row r="82" spans="3:17">
      <c r="C82" s="392"/>
      <c r="D82" s="392"/>
      <c r="E82" s="392"/>
      <c r="F82" s="392"/>
      <c r="G82" s="392"/>
      <c r="H82" s="392"/>
      <c r="I82" s="392"/>
      <c r="J82" s="392"/>
      <c r="K82" s="392"/>
      <c r="L82" s="392"/>
    </row>
    <row r="83" spans="3:17">
      <c r="C83" s="392"/>
      <c r="D83" s="392"/>
      <c r="E83" s="392"/>
      <c r="F83" s="392"/>
      <c r="G83" s="392"/>
      <c r="H83" s="392"/>
      <c r="I83" s="392"/>
      <c r="J83" s="392"/>
      <c r="K83" s="392"/>
      <c r="L83" s="392"/>
    </row>
    <row r="84" spans="3:17">
      <c r="C84" s="392"/>
      <c r="D84" s="392"/>
      <c r="E84" s="392"/>
      <c r="F84" s="392"/>
      <c r="G84" s="392"/>
      <c r="H84" s="392"/>
      <c r="I84" s="392"/>
      <c r="J84" s="392"/>
      <c r="K84" s="392"/>
      <c r="L84" s="392"/>
    </row>
    <row r="85" spans="3:17">
      <c r="C85" s="392"/>
      <c r="D85" s="392"/>
      <c r="E85" s="392"/>
      <c r="F85" s="392"/>
      <c r="G85" s="392"/>
      <c r="H85" s="392"/>
      <c r="I85" s="392"/>
      <c r="J85" s="392"/>
      <c r="K85" s="392"/>
      <c r="L85" s="392"/>
    </row>
    <row r="86" spans="3:17">
      <c r="C86" s="392"/>
      <c r="D86" s="392"/>
      <c r="E86" s="392"/>
      <c r="F86" s="392"/>
      <c r="G86" s="392"/>
      <c r="H86" s="392"/>
      <c r="I86" s="392"/>
      <c r="J86" s="392"/>
      <c r="K86" s="392"/>
      <c r="L86" s="392"/>
    </row>
    <row r="87" spans="3:17">
      <c r="C87" s="392"/>
      <c r="D87" s="392"/>
      <c r="E87" s="392"/>
      <c r="F87" s="392"/>
      <c r="G87" s="392"/>
      <c r="H87" s="392"/>
      <c r="I87" s="392"/>
      <c r="J87" s="392"/>
      <c r="K87" s="392"/>
      <c r="L87" s="392"/>
    </row>
    <row r="88" spans="3:17">
      <c r="C88" s="392"/>
      <c r="D88" s="392"/>
      <c r="E88" s="392"/>
      <c r="F88" s="392"/>
      <c r="G88" s="392"/>
      <c r="H88" s="392"/>
      <c r="I88" s="392"/>
      <c r="J88" s="392"/>
      <c r="K88" s="392"/>
      <c r="L88" s="392"/>
    </row>
    <row r="89" spans="3:17">
      <c r="C89" s="392"/>
      <c r="D89" s="392"/>
      <c r="E89" s="392"/>
      <c r="F89" s="392"/>
      <c r="G89" s="392"/>
      <c r="H89" s="392"/>
      <c r="I89" s="392"/>
      <c r="J89" s="392"/>
      <c r="K89" s="392"/>
      <c r="L89" s="392"/>
    </row>
    <row r="90" spans="3:17">
      <c r="C90" s="392"/>
      <c r="D90" s="392"/>
      <c r="E90" s="392"/>
      <c r="F90" s="392"/>
      <c r="G90" s="392"/>
      <c r="H90" s="392"/>
      <c r="I90" s="392"/>
      <c r="J90" s="392"/>
      <c r="K90" s="392"/>
      <c r="L90" s="392"/>
    </row>
    <row r="91" spans="3:17">
      <c r="C91" s="392"/>
      <c r="D91" s="392"/>
      <c r="E91" s="392"/>
      <c r="F91" s="392"/>
      <c r="G91" s="392"/>
      <c r="H91" s="392"/>
      <c r="I91" s="392"/>
      <c r="J91" s="392"/>
      <c r="K91" s="392"/>
      <c r="L91" s="392"/>
    </row>
    <row r="92" spans="3:17">
      <c r="C92" s="392"/>
      <c r="D92" s="392"/>
      <c r="E92" s="392"/>
      <c r="F92" s="392"/>
      <c r="G92" s="392"/>
      <c r="H92" s="392"/>
      <c r="I92" s="392"/>
      <c r="J92" s="392"/>
      <c r="K92" s="392"/>
      <c r="L92" s="392"/>
    </row>
    <row r="94" spans="3:17">
      <c r="C94" s="393"/>
      <c r="D94" s="397"/>
      <c r="E94" s="397"/>
      <c r="F94" s="397"/>
      <c r="G94" s="397"/>
      <c r="H94" s="397"/>
      <c r="I94" s="397"/>
      <c r="J94" s="397"/>
      <c r="K94" s="397"/>
      <c r="L94" s="397"/>
      <c r="M94" s="398"/>
      <c r="N94" s="398"/>
      <c r="O94" s="398"/>
      <c r="P94" s="397"/>
      <c r="Q94" s="394"/>
    </row>
    <row r="95" spans="3:17">
      <c r="C95" s="393"/>
      <c r="D95" s="397"/>
      <c r="E95" s="397"/>
      <c r="F95" s="397"/>
      <c r="G95" s="397"/>
      <c r="H95" s="397"/>
      <c r="I95" s="397"/>
      <c r="J95" s="397"/>
      <c r="K95" s="397"/>
      <c r="L95" s="397"/>
      <c r="M95" s="398"/>
      <c r="N95" s="398"/>
      <c r="O95" s="398"/>
      <c r="P95" s="397"/>
      <c r="Q95" s="394"/>
    </row>
    <row r="96" spans="3:17">
      <c r="C96" s="393"/>
      <c r="D96" s="397"/>
      <c r="E96" s="397"/>
      <c r="F96" s="397"/>
      <c r="G96" s="397"/>
      <c r="H96" s="397"/>
      <c r="I96" s="397"/>
      <c r="J96" s="397"/>
      <c r="K96" s="397"/>
      <c r="L96" s="397"/>
      <c r="M96" s="398"/>
      <c r="N96" s="398"/>
      <c r="O96" s="398"/>
      <c r="P96" s="397"/>
      <c r="Q96" s="394"/>
    </row>
    <row r="97" spans="3:17">
      <c r="C97" s="393"/>
      <c r="D97" s="397"/>
      <c r="E97" s="397"/>
      <c r="F97" s="397"/>
      <c r="G97" s="397"/>
      <c r="H97" s="397"/>
      <c r="I97" s="397"/>
      <c r="J97" s="397"/>
      <c r="K97" s="397"/>
      <c r="L97" s="397"/>
      <c r="M97" s="398"/>
      <c r="N97" s="398"/>
      <c r="O97" s="398"/>
      <c r="P97" s="397"/>
      <c r="Q97" s="394"/>
    </row>
    <row r="98" spans="3:17">
      <c r="C98" s="393"/>
      <c r="D98" s="397"/>
      <c r="E98" s="397"/>
      <c r="F98" s="397"/>
      <c r="G98" s="397"/>
      <c r="H98" s="397"/>
      <c r="I98" s="397"/>
      <c r="J98" s="397"/>
      <c r="K98" s="397"/>
      <c r="L98" s="397"/>
      <c r="M98" s="398"/>
      <c r="N98" s="398"/>
      <c r="O98" s="398"/>
      <c r="P98" s="397"/>
      <c r="Q98" s="394"/>
    </row>
    <row r="99" spans="3:17">
      <c r="C99" s="393"/>
      <c r="D99" s="397"/>
      <c r="E99" s="397"/>
      <c r="F99" s="397"/>
      <c r="G99" s="397"/>
      <c r="H99" s="397"/>
      <c r="I99" s="397"/>
      <c r="J99" s="397"/>
      <c r="K99" s="397"/>
      <c r="L99" s="397"/>
      <c r="M99" s="398"/>
      <c r="N99" s="398"/>
      <c r="O99" s="398"/>
      <c r="P99" s="397"/>
      <c r="Q99" s="394"/>
    </row>
    <row r="100" spans="3:17">
      <c r="D100" s="397"/>
      <c r="E100" s="397"/>
      <c r="F100" s="397"/>
      <c r="G100" s="397"/>
      <c r="H100" s="397"/>
      <c r="I100" s="397"/>
      <c r="J100" s="397"/>
      <c r="K100" s="397"/>
      <c r="L100" s="397"/>
      <c r="M100" s="398"/>
      <c r="N100" s="398"/>
      <c r="O100" s="398"/>
      <c r="P100" s="397"/>
      <c r="Q100" s="394"/>
    </row>
    <row r="101" spans="3:17">
      <c r="C101" s="393"/>
      <c r="D101" s="397"/>
      <c r="E101" s="397"/>
      <c r="F101" s="397"/>
      <c r="G101" s="397"/>
      <c r="H101" s="397"/>
      <c r="I101" s="397"/>
      <c r="J101" s="397"/>
      <c r="K101" s="397"/>
      <c r="L101" s="397"/>
      <c r="M101" s="398"/>
      <c r="N101" s="398"/>
      <c r="O101" s="398"/>
      <c r="P101" s="397"/>
      <c r="Q101" s="394"/>
    </row>
    <row r="102" spans="3:17">
      <c r="C102" s="393"/>
      <c r="D102" s="397"/>
      <c r="E102" s="397"/>
      <c r="F102" s="397"/>
      <c r="G102" s="397"/>
      <c r="H102" s="397"/>
      <c r="I102" s="397"/>
      <c r="J102" s="397"/>
      <c r="K102" s="397"/>
      <c r="L102" s="397"/>
      <c r="M102" s="398"/>
      <c r="N102" s="398"/>
      <c r="O102" s="398"/>
      <c r="P102" s="397"/>
      <c r="Q102" s="394"/>
    </row>
    <row r="103" spans="3:17">
      <c r="D103" s="397"/>
      <c r="E103" s="397"/>
      <c r="F103" s="397"/>
      <c r="G103" s="397"/>
      <c r="H103" s="397"/>
      <c r="I103" s="397"/>
      <c r="J103" s="397"/>
      <c r="K103" s="397"/>
      <c r="L103" s="397"/>
      <c r="M103" s="398"/>
      <c r="N103" s="398"/>
      <c r="O103" s="398"/>
      <c r="P103" s="397"/>
      <c r="Q103" s="394"/>
    </row>
    <row r="104" spans="3:17">
      <c r="C104" s="393"/>
      <c r="D104" s="397"/>
      <c r="E104" s="397"/>
      <c r="F104" s="397"/>
      <c r="G104" s="397"/>
      <c r="H104" s="397"/>
      <c r="I104" s="397"/>
      <c r="J104" s="397"/>
      <c r="K104" s="397"/>
      <c r="L104" s="397"/>
      <c r="M104" s="398"/>
      <c r="N104" s="398"/>
      <c r="O104" s="398"/>
      <c r="P104" s="397"/>
      <c r="Q104" s="394"/>
    </row>
    <row r="105" spans="3:17">
      <c r="C105" s="393"/>
      <c r="D105" s="397"/>
      <c r="E105" s="397"/>
      <c r="F105" s="397"/>
      <c r="G105" s="397"/>
      <c r="H105" s="397"/>
      <c r="I105" s="397"/>
      <c r="J105" s="397"/>
      <c r="K105" s="397"/>
      <c r="L105" s="397"/>
      <c r="M105" s="398"/>
      <c r="N105" s="398"/>
      <c r="O105" s="398"/>
      <c r="P105" s="397"/>
      <c r="Q105" s="394"/>
    </row>
    <row r="106" spans="3:17">
      <c r="D106" s="396"/>
      <c r="E106" s="396"/>
      <c r="F106" s="396"/>
      <c r="G106" s="396"/>
      <c r="H106" s="396"/>
      <c r="I106" s="396"/>
      <c r="J106" s="396"/>
      <c r="K106" s="396"/>
      <c r="L106" s="396"/>
    </row>
    <row r="107" spans="3:17">
      <c r="D107" s="396"/>
      <c r="E107" s="396"/>
      <c r="F107" s="396"/>
      <c r="G107" s="396"/>
      <c r="H107" s="396"/>
      <c r="I107" s="396"/>
      <c r="J107" s="396"/>
      <c r="K107" s="396"/>
      <c r="L107" s="396"/>
    </row>
    <row r="108" spans="3:17">
      <c r="D108" s="399"/>
      <c r="E108" s="399"/>
      <c r="F108" s="399"/>
      <c r="G108" s="399"/>
      <c r="H108" s="399"/>
      <c r="I108" s="399"/>
      <c r="J108" s="399"/>
      <c r="K108" s="399"/>
      <c r="L108" s="399"/>
    </row>
    <row r="109" spans="3:17">
      <c r="D109" s="399"/>
      <c r="E109" s="399"/>
      <c r="F109" s="399"/>
      <c r="G109" s="399"/>
      <c r="H109" s="399"/>
      <c r="I109" s="399"/>
      <c r="J109" s="399"/>
      <c r="K109" s="399"/>
      <c r="L109" s="399"/>
    </row>
    <row r="110" spans="3:17">
      <c r="D110" s="399"/>
      <c r="E110" s="399"/>
      <c r="F110" s="399"/>
      <c r="G110" s="399"/>
      <c r="H110" s="399"/>
      <c r="I110" s="399"/>
      <c r="J110" s="399"/>
      <c r="K110" s="399"/>
      <c r="L110" s="399"/>
    </row>
    <row r="111" spans="3:17">
      <c r="D111" s="399"/>
      <c r="E111" s="399"/>
      <c r="F111" s="399"/>
      <c r="G111" s="399"/>
      <c r="H111" s="399"/>
      <c r="I111" s="399"/>
      <c r="J111" s="399"/>
      <c r="K111" s="399"/>
      <c r="L111" s="399"/>
    </row>
    <row r="112" spans="3:17">
      <c r="D112" s="399"/>
      <c r="E112" s="399"/>
      <c r="F112" s="399"/>
      <c r="G112" s="399"/>
      <c r="H112" s="399"/>
      <c r="I112" s="399"/>
      <c r="J112" s="399"/>
      <c r="K112" s="399"/>
      <c r="L112" s="399"/>
    </row>
    <row r="113" spans="3:20">
      <c r="D113" s="399"/>
      <c r="E113" s="399"/>
      <c r="F113" s="399"/>
      <c r="G113" s="399"/>
      <c r="H113" s="399"/>
      <c r="I113" s="399"/>
      <c r="J113" s="399"/>
      <c r="K113" s="399"/>
      <c r="L113" s="399"/>
    </row>
    <row r="114" spans="3:20">
      <c r="D114" s="399"/>
      <c r="E114" s="399"/>
      <c r="F114" s="399"/>
      <c r="G114" s="399"/>
      <c r="H114" s="399"/>
      <c r="I114" s="399"/>
      <c r="J114" s="399"/>
      <c r="K114" s="399"/>
      <c r="L114" s="399"/>
    </row>
    <row r="115" spans="3:20">
      <c r="D115" s="399"/>
      <c r="E115" s="399"/>
      <c r="F115" s="399"/>
      <c r="G115" s="399"/>
      <c r="H115" s="399"/>
      <c r="I115" s="399"/>
      <c r="J115" s="399"/>
      <c r="K115" s="399"/>
      <c r="L115" s="399"/>
    </row>
    <row r="116" spans="3:20">
      <c r="D116" s="399"/>
      <c r="E116" s="399"/>
      <c r="F116" s="399"/>
      <c r="G116" s="399"/>
      <c r="H116" s="399"/>
      <c r="I116" s="399"/>
      <c r="J116" s="399"/>
      <c r="K116" s="399"/>
      <c r="L116" s="399"/>
    </row>
    <row r="117" spans="3:20">
      <c r="D117" s="399"/>
      <c r="E117" s="399"/>
      <c r="F117" s="399"/>
      <c r="G117" s="399"/>
      <c r="H117" s="399"/>
      <c r="I117" s="399"/>
      <c r="J117" s="399"/>
      <c r="K117" s="399"/>
      <c r="L117" s="399"/>
    </row>
    <row r="118" spans="3:20">
      <c r="D118" s="399"/>
      <c r="E118" s="399"/>
      <c r="F118" s="399"/>
      <c r="G118" s="399"/>
      <c r="H118" s="399"/>
      <c r="I118" s="399"/>
      <c r="J118" s="399"/>
      <c r="K118" s="399"/>
      <c r="L118" s="399"/>
    </row>
    <row r="119" spans="3:20">
      <c r="D119" s="399"/>
      <c r="E119" s="399"/>
      <c r="F119" s="399"/>
      <c r="G119" s="399"/>
      <c r="H119" s="399"/>
      <c r="I119" s="399"/>
      <c r="J119" s="399"/>
      <c r="K119" s="399"/>
      <c r="L119" s="399"/>
    </row>
    <row r="123" spans="3:20">
      <c r="C123" s="393"/>
      <c r="D123" s="396"/>
      <c r="E123" s="396"/>
      <c r="F123" s="396"/>
      <c r="G123" s="396"/>
      <c r="H123" s="396"/>
      <c r="I123" s="396"/>
      <c r="J123" s="396"/>
      <c r="K123" s="396"/>
      <c r="L123" s="396"/>
      <c r="P123" s="400"/>
      <c r="Q123" s="394"/>
      <c r="R123" s="393"/>
      <c r="S123" s="395"/>
      <c r="T123" s="401"/>
    </row>
    <row r="124" spans="3:20">
      <c r="C124" s="393"/>
      <c r="D124" s="396"/>
      <c r="E124" s="396"/>
      <c r="F124" s="396"/>
      <c r="G124" s="396"/>
      <c r="H124" s="396"/>
      <c r="I124" s="396"/>
      <c r="J124" s="396"/>
      <c r="K124" s="396"/>
      <c r="L124" s="396"/>
      <c r="P124" s="400"/>
      <c r="Q124" s="394"/>
      <c r="R124" s="393"/>
      <c r="S124" s="395"/>
      <c r="T124" s="401"/>
    </row>
    <row r="125" spans="3:20">
      <c r="C125" s="393"/>
      <c r="D125" s="396"/>
      <c r="E125" s="396"/>
      <c r="F125" s="396"/>
      <c r="G125" s="396"/>
      <c r="H125" s="396"/>
      <c r="I125" s="396"/>
      <c r="J125" s="396"/>
      <c r="K125" s="396"/>
      <c r="L125" s="396"/>
      <c r="P125" s="400"/>
      <c r="Q125" s="394"/>
      <c r="R125" s="393"/>
      <c r="S125" s="395"/>
      <c r="T125" s="401"/>
    </row>
    <row r="126" spans="3:20">
      <c r="C126" s="393"/>
      <c r="D126" s="396"/>
      <c r="E126" s="396"/>
      <c r="F126" s="396"/>
      <c r="G126" s="396"/>
      <c r="H126" s="396"/>
      <c r="I126" s="396"/>
      <c r="J126" s="396"/>
      <c r="K126" s="396"/>
      <c r="L126" s="396"/>
      <c r="P126" s="400"/>
      <c r="Q126" s="394"/>
      <c r="R126" s="393"/>
      <c r="S126" s="395"/>
      <c r="T126" s="401"/>
    </row>
    <row r="127" spans="3:20">
      <c r="C127" s="393"/>
      <c r="D127" s="396"/>
      <c r="E127" s="396"/>
      <c r="F127" s="396"/>
      <c r="G127" s="396"/>
      <c r="H127" s="396"/>
      <c r="I127" s="396"/>
      <c r="J127" s="396"/>
      <c r="K127" s="396"/>
      <c r="L127" s="396"/>
      <c r="P127" s="400"/>
      <c r="Q127" s="394"/>
      <c r="R127" s="393"/>
      <c r="S127" s="395"/>
      <c r="T127" s="401"/>
    </row>
    <row r="128" spans="3:20">
      <c r="C128" s="393"/>
      <c r="D128" s="396"/>
      <c r="E128" s="396"/>
      <c r="F128" s="396"/>
      <c r="G128" s="396"/>
      <c r="H128" s="396"/>
      <c r="I128" s="396"/>
      <c r="J128" s="396"/>
      <c r="K128" s="396"/>
      <c r="L128" s="396"/>
      <c r="P128" s="400"/>
      <c r="Q128" s="394"/>
      <c r="R128" s="393"/>
      <c r="S128" s="395"/>
      <c r="T128" s="401"/>
    </row>
    <row r="129" spans="3:20">
      <c r="D129" s="396"/>
      <c r="E129" s="396"/>
      <c r="F129" s="396"/>
      <c r="G129" s="396"/>
      <c r="H129" s="396"/>
      <c r="I129" s="396"/>
      <c r="J129" s="396"/>
      <c r="K129" s="396"/>
      <c r="L129" s="396"/>
      <c r="P129" s="400"/>
      <c r="Q129" s="394"/>
      <c r="S129" s="395"/>
      <c r="T129" s="401"/>
    </row>
    <row r="130" spans="3:20">
      <c r="C130" s="393"/>
      <c r="D130" s="396"/>
      <c r="E130" s="396"/>
      <c r="F130" s="396"/>
      <c r="G130" s="396"/>
      <c r="H130" s="396"/>
      <c r="I130" s="396"/>
      <c r="J130" s="396"/>
      <c r="K130" s="396"/>
      <c r="L130" s="396"/>
      <c r="P130" s="400"/>
      <c r="Q130" s="394"/>
      <c r="R130" s="393"/>
      <c r="S130" s="395"/>
      <c r="T130" s="401"/>
    </row>
    <row r="131" spans="3:20">
      <c r="C131" s="393"/>
      <c r="D131" s="396"/>
      <c r="E131" s="396"/>
      <c r="F131" s="396"/>
      <c r="G131" s="396"/>
      <c r="H131" s="396"/>
      <c r="I131" s="396"/>
      <c r="J131" s="396"/>
      <c r="K131" s="396"/>
      <c r="L131" s="396"/>
      <c r="P131" s="400"/>
      <c r="Q131" s="394"/>
      <c r="R131" s="393"/>
      <c r="S131" s="395"/>
      <c r="T131" s="401"/>
    </row>
    <row r="132" spans="3:20">
      <c r="D132" s="396"/>
      <c r="E132" s="396"/>
      <c r="F132" s="396"/>
      <c r="G132" s="396"/>
      <c r="H132" s="396"/>
      <c r="I132" s="396"/>
      <c r="J132" s="396"/>
      <c r="K132" s="396"/>
      <c r="L132" s="396"/>
      <c r="P132" s="400"/>
      <c r="Q132" s="394"/>
      <c r="S132" s="395"/>
      <c r="T132" s="401"/>
    </row>
    <row r="133" spans="3:20">
      <c r="C133" s="393"/>
      <c r="D133" s="396"/>
      <c r="E133" s="396"/>
      <c r="F133" s="396"/>
      <c r="G133" s="396"/>
      <c r="H133" s="396"/>
      <c r="I133" s="396"/>
      <c r="J133" s="396"/>
      <c r="K133" s="396"/>
      <c r="L133" s="396"/>
      <c r="P133" s="400"/>
      <c r="Q133" s="394"/>
      <c r="R133" s="393"/>
      <c r="S133" s="395"/>
      <c r="T133" s="401"/>
    </row>
    <row r="134" spans="3:20">
      <c r="C134" s="393"/>
      <c r="D134" s="396"/>
      <c r="E134" s="396"/>
      <c r="F134" s="396"/>
      <c r="G134" s="396"/>
      <c r="H134" s="396"/>
      <c r="I134" s="396"/>
      <c r="J134" s="396"/>
      <c r="K134" s="396"/>
      <c r="L134" s="396"/>
      <c r="P134" s="400"/>
      <c r="Q134" s="394"/>
      <c r="R134" s="393"/>
      <c r="S134" s="395"/>
      <c r="T134" s="401"/>
    </row>
    <row r="135" spans="3:20">
      <c r="D135" s="396"/>
      <c r="E135" s="396"/>
      <c r="F135" s="396"/>
      <c r="G135" s="396"/>
      <c r="H135" s="396"/>
      <c r="I135" s="396"/>
      <c r="J135" s="396"/>
      <c r="K135" s="396"/>
      <c r="L135" s="396"/>
    </row>
    <row r="136" spans="3:20">
      <c r="D136" s="396"/>
      <c r="E136" s="396"/>
      <c r="F136" s="396"/>
      <c r="G136" s="396"/>
      <c r="H136" s="396"/>
      <c r="I136" s="396"/>
      <c r="J136" s="396"/>
      <c r="K136" s="396"/>
      <c r="L136" s="396"/>
    </row>
    <row r="144" spans="3:20">
      <c r="C144" s="393"/>
      <c r="D144" s="393"/>
      <c r="E144" s="393"/>
      <c r="F144" s="393"/>
      <c r="G144" s="393"/>
      <c r="H144" s="393"/>
      <c r="I144" s="393"/>
      <c r="J144" s="393"/>
      <c r="K144" s="393"/>
      <c r="L144" s="393"/>
    </row>
    <row r="145" spans="3:12">
      <c r="C145" s="393"/>
      <c r="D145" s="393"/>
      <c r="E145" s="393"/>
      <c r="F145" s="393"/>
      <c r="G145" s="393"/>
      <c r="H145" s="393"/>
      <c r="I145" s="393"/>
      <c r="J145" s="393"/>
      <c r="K145" s="393"/>
      <c r="L145" s="393"/>
    </row>
    <row r="146" spans="3:12">
      <c r="C146" s="393"/>
      <c r="D146" s="393"/>
      <c r="E146" s="393"/>
      <c r="F146" s="393"/>
      <c r="G146" s="393"/>
      <c r="H146" s="393"/>
      <c r="I146" s="393"/>
      <c r="J146" s="393"/>
      <c r="K146" s="393"/>
      <c r="L146" s="393"/>
    </row>
    <row r="147" spans="3:12">
      <c r="C147" s="393"/>
      <c r="D147" s="393"/>
      <c r="E147" s="393"/>
      <c r="F147" s="393"/>
      <c r="G147" s="393"/>
      <c r="H147" s="393"/>
      <c r="I147" s="393"/>
      <c r="J147" s="393"/>
      <c r="K147" s="393"/>
      <c r="L147" s="39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4D948-C82C-4FEF-85F7-4B83B8E908F1}">
  <sheetPr>
    <tabColor rgb="FF7030A0"/>
  </sheetPr>
  <dimension ref="B5:BF102"/>
  <sheetViews>
    <sheetView showGridLines="0" topLeftCell="A31" zoomScale="80" zoomScaleNormal="80" workbookViewId="0">
      <selection activeCell="D23" sqref="D23"/>
    </sheetView>
  </sheetViews>
  <sheetFormatPr baseColWidth="10" defaultColWidth="9.453125" defaultRowHeight="14.5"/>
  <cols>
    <col min="1" max="1" width="9.453125" style="3"/>
    <col min="2" max="2" width="6.453125" style="3" bestFit="1" customWidth="1"/>
    <col min="3" max="3" width="59.1796875" style="3" bestFit="1" customWidth="1"/>
    <col min="4" max="4" width="29.1796875" style="3" customWidth="1"/>
    <col min="5" max="5" width="19.81640625" style="39" bestFit="1" customWidth="1"/>
    <col min="6" max="6" width="13.1796875" style="3" customWidth="1"/>
    <col min="7" max="13" width="13.1796875" style="211" customWidth="1"/>
    <col min="14" max="14" width="12" style="211" bestFit="1" customWidth="1"/>
    <col min="15" max="19" width="13.54296875" style="3" customWidth="1"/>
    <col min="20" max="20" width="18.453125" style="211" bestFit="1" customWidth="1"/>
    <col min="21" max="21" width="18.1796875" style="211" bestFit="1" customWidth="1"/>
    <col min="22" max="22" width="19.54296875" style="211" bestFit="1" customWidth="1"/>
    <col min="23" max="24" width="14.7265625" style="211" customWidth="1"/>
    <col min="25" max="28" width="14.7265625" style="3" customWidth="1"/>
    <col min="29" max="40" width="14.7265625" style="211" customWidth="1"/>
    <col min="41" max="41" width="18.453125" style="211" bestFit="1" customWidth="1"/>
    <col min="42" max="42" width="18.1796875" style="211" bestFit="1" customWidth="1"/>
    <col min="43" max="43" width="28.453125" style="3" customWidth="1"/>
    <col min="44" max="47" width="14.54296875" style="3" customWidth="1"/>
    <col min="48" max="48" width="6.453125" style="211" bestFit="1" customWidth="1"/>
    <col min="49" max="49" width="20.7265625" style="3" bestFit="1" customWidth="1"/>
    <col min="50" max="50" width="18.1796875" style="3" bestFit="1" customWidth="1"/>
    <col min="51" max="51" width="19.81640625" style="3" bestFit="1" customWidth="1"/>
    <col min="52" max="52" width="19.7265625" style="3" bestFit="1" customWidth="1"/>
    <col min="53" max="53" width="11.453125" style="3" bestFit="1" customWidth="1"/>
    <col min="54" max="54" width="16.54296875" style="3" bestFit="1" customWidth="1"/>
    <col min="55" max="55" width="12.453125" style="3" bestFit="1" customWidth="1"/>
    <col min="56" max="56" width="12.1796875" style="3" bestFit="1" customWidth="1"/>
    <col min="57" max="57" width="6.453125" style="3" bestFit="1" customWidth="1"/>
    <col min="58" max="16384" width="9.453125" style="3"/>
  </cols>
  <sheetData>
    <row r="5" spans="3:47" ht="43.5">
      <c r="E5" s="535" t="s">
        <v>390</v>
      </c>
      <c r="F5" s="536" t="s">
        <v>285</v>
      </c>
      <c r="G5" s="536" t="s">
        <v>286</v>
      </c>
      <c r="H5" s="536" t="s">
        <v>287</v>
      </c>
      <c r="I5" s="536" t="s">
        <v>288</v>
      </c>
      <c r="J5" s="536" t="s">
        <v>289</v>
      </c>
      <c r="K5" s="536" t="s">
        <v>290</v>
      </c>
      <c r="L5" s="536" t="s">
        <v>291</v>
      </c>
      <c r="M5" s="537" t="s">
        <v>292</v>
      </c>
      <c r="N5" s="535" t="s">
        <v>390</v>
      </c>
      <c r="O5" s="536" t="s">
        <v>293</v>
      </c>
      <c r="P5" s="536" t="s">
        <v>294</v>
      </c>
      <c r="Q5" s="536" t="s">
        <v>295</v>
      </c>
      <c r="R5" s="536" t="s">
        <v>296</v>
      </c>
      <c r="S5" s="537" t="s">
        <v>297</v>
      </c>
      <c r="W5" s="538" t="s">
        <v>298</v>
      </c>
      <c r="X5" s="536" t="s">
        <v>299</v>
      </c>
      <c r="Y5" s="536" t="s">
        <v>300</v>
      </c>
      <c r="Z5" s="536" t="s">
        <v>301</v>
      </c>
      <c r="AA5" s="536" t="s">
        <v>302</v>
      </c>
      <c r="AB5" s="536" t="s">
        <v>303</v>
      </c>
      <c r="AC5" s="536" t="s">
        <v>304</v>
      </c>
      <c r="AD5" s="536" t="s">
        <v>305</v>
      </c>
      <c r="AE5" s="536" t="s">
        <v>306</v>
      </c>
      <c r="AF5" s="536" t="s">
        <v>307</v>
      </c>
      <c r="AG5" s="536" t="s">
        <v>308</v>
      </c>
      <c r="AH5" s="536" t="s">
        <v>309</v>
      </c>
      <c r="AI5" s="536" t="s">
        <v>310</v>
      </c>
      <c r="AJ5" s="536" t="s">
        <v>311</v>
      </c>
      <c r="AK5" s="536" t="s">
        <v>312</v>
      </c>
      <c r="AL5" s="536" t="s">
        <v>313</v>
      </c>
      <c r="AM5" s="536" t="s">
        <v>314</v>
      </c>
      <c r="AN5" s="537" t="s">
        <v>315</v>
      </c>
      <c r="AR5" s="538" t="s">
        <v>316</v>
      </c>
      <c r="AS5" s="536" t="s">
        <v>317</v>
      </c>
      <c r="AT5" s="536" t="s">
        <v>318</v>
      </c>
      <c r="AU5" s="537" t="s">
        <v>319</v>
      </c>
    </row>
    <row r="6" spans="3:47">
      <c r="C6" s="595" t="s">
        <v>321</v>
      </c>
      <c r="D6" s="595"/>
      <c r="E6" s="486">
        <v>140</v>
      </c>
      <c r="F6" s="487" t="str">
        <f t="shared" ref="F6:M18" si="0">IFERROR(G73/$E6-1,"")</f>
        <v/>
      </c>
      <c r="G6" s="487">
        <f t="shared" si="0"/>
        <v>-0.53649999999999998</v>
      </c>
      <c r="H6" s="487">
        <f t="shared" si="0"/>
        <v>-0.20538133116883106</v>
      </c>
      <c r="I6" s="487" t="str">
        <f t="shared" si="0"/>
        <v/>
      </c>
      <c r="J6" s="487" t="str">
        <f t="shared" si="0"/>
        <v/>
      </c>
      <c r="K6" s="487" t="str">
        <f t="shared" si="0"/>
        <v/>
      </c>
      <c r="L6" s="487">
        <f t="shared" si="0"/>
        <v>6.6857142857142948E-2</v>
      </c>
      <c r="M6" s="488">
        <f t="shared" si="0"/>
        <v>0.32253937007874001</v>
      </c>
      <c r="N6" s="486">
        <v>140</v>
      </c>
      <c r="O6" s="494" t="str">
        <f t="shared" ref="O6:O18" si="1">IFERROR(T73/$N6-1,"")</f>
        <v/>
      </c>
      <c r="P6" s="487">
        <f t="shared" ref="P6:P18" si="2">IFERROR(U73/$N6-1,"")</f>
        <v>3.8071428571428756E-2</v>
      </c>
      <c r="Q6" s="487">
        <f t="shared" ref="Q6:Q18" si="3">IFERROR(V73/$N6-1,"")</f>
        <v>0.22832841520569347</v>
      </c>
      <c r="R6" s="487">
        <f t="shared" ref="R6:R18" si="4">IFERROR(W73/$N6-1,"")</f>
        <v>0.27771428571428558</v>
      </c>
      <c r="S6" s="488" t="str">
        <f t="shared" ref="S6:S18" si="5">IFERROR(X73/$N6-1,"")</f>
        <v/>
      </c>
      <c r="T6" s="593" t="s">
        <v>321</v>
      </c>
      <c r="U6" s="593"/>
      <c r="V6" s="431">
        <v>140</v>
      </c>
      <c r="W6" s="494" t="str">
        <f t="shared" ref="W6:W19" si="6">IFERROR(AD73/$V6-1,"")</f>
        <v/>
      </c>
      <c r="X6" s="487">
        <f t="shared" ref="X6:X19" si="7">IFERROR(AE73/$V6-1,"")</f>
        <v>6.282105968736551E-2</v>
      </c>
      <c r="Y6" s="487">
        <f t="shared" ref="Y6:Y19" si="8">IFERROR(AF73/$V6-1,"")</f>
        <v>9.86669002411944E-2</v>
      </c>
      <c r="Z6" s="487">
        <f t="shared" ref="Z6:Z19" si="9">IFERROR(AG73/$V6-1,"")</f>
        <v>0.24521428571428583</v>
      </c>
      <c r="AA6" s="487" t="str">
        <f t="shared" ref="AA6:AA19" si="10">IFERROR(AH73/$V6-1,"")</f>
        <v/>
      </c>
      <c r="AB6" s="487" t="str">
        <f t="shared" ref="AB6:AB19" si="11">IFERROR(AI73/$V6-1,"")</f>
        <v/>
      </c>
      <c r="AC6" s="487" t="str">
        <f t="shared" ref="AC6:AC19" si="12">IFERROR(AJ73/$V6-1,"")</f>
        <v/>
      </c>
      <c r="AD6" s="487" t="str">
        <f t="shared" ref="AD6:AD19" si="13">IFERROR(AK73/$V6-1,"")</f>
        <v/>
      </c>
      <c r="AE6" s="487" t="str">
        <f t="shared" ref="AE6:AE19" si="14">IFERROR(AL73/$V6-1,"")</f>
        <v/>
      </c>
      <c r="AF6" s="487" t="str">
        <f t="shared" ref="AF6:AF19" si="15">IFERROR(AM73/$V6-1,"")</f>
        <v/>
      </c>
      <c r="AG6" s="487" t="str">
        <f t="shared" ref="AG6:AG19" si="16">IFERROR(AN73/$V6-1,"")</f>
        <v/>
      </c>
      <c r="AH6" s="487" t="str">
        <f t="shared" ref="AH6:AH19" si="17">IFERROR(AO73/$V6-1,"")</f>
        <v/>
      </c>
      <c r="AI6" s="487" t="str">
        <f t="shared" ref="AI6:AI19" si="18">IFERROR(AP73/$V6-1,"")</f>
        <v/>
      </c>
      <c r="AJ6" s="487" t="str">
        <f t="shared" ref="AJ6:AJ19" si="19">IFERROR(AQ73/$V6-1,"")</f>
        <v/>
      </c>
      <c r="AK6" s="487" t="str">
        <f t="shared" ref="AK6:AK19" si="20">IFERROR(AR73/$V6-1,"")</f>
        <v/>
      </c>
      <c r="AL6" s="487" t="str">
        <f t="shared" ref="AL6:AL19" si="21">IFERROR(AS73/$V6-1,"")</f>
        <v/>
      </c>
      <c r="AM6" s="487" t="str">
        <f t="shared" ref="AM6:AM19" si="22">IFERROR(AT73/$V6-1,"")</f>
        <v/>
      </c>
      <c r="AN6" s="488" t="str">
        <f t="shared" ref="AN6:AN19" si="23">IFERROR(AU73/$V6-1,"")</f>
        <v/>
      </c>
      <c r="AO6" s="586" t="s">
        <v>321</v>
      </c>
      <c r="AP6" s="587"/>
      <c r="AQ6" s="449">
        <v>140</v>
      </c>
      <c r="AR6" s="494" t="str">
        <f>IFERROR(BA73/$AQ6-1,"")</f>
        <v/>
      </c>
      <c r="AS6" s="487" t="str">
        <f>IFERROR(BB73/$AQ6-1,"")</f>
        <v/>
      </c>
      <c r="AT6" s="487" t="str">
        <f>IFERROR(BC73/$AQ6-1,"")</f>
        <v/>
      </c>
      <c r="AU6" s="488" t="str">
        <f>IFERROR(BD73/$AQ6-1,"")</f>
        <v/>
      </c>
    </row>
    <row r="7" spans="3:47">
      <c r="C7" s="596" t="s">
        <v>13</v>
      </c>
      <c r="D7" s="430" t="s">
        <v>326</v>
      </c>
      <c r="E7" s="39">
        <v>800</v>
      </c>
      <c r="F7" s="489">
        <f t="shared" si="0"/>
        <v>0.51011249999999997</v>
      </c>
      <c r="G7" s="489">
        <f t="shared" si="0"/>
        <v>0.18445</v>
      </c>
      <c r="H7" s="489">
        <f t="shared" si="0"/>
        <v>0.26802873194205712</v>
      </c>
      <c r="I7" s="489">
        <f t="shared" si="0"/>
        <v>0.50493469945355196</v>
      </c>
      <c r="J7" s="489">
        <f t="shared" si="0"/>
        <v>0.5644499999999999</v>
      </c>
      <c r="K7" s="489">
        <f t="shared" si="0"/>
        <v>0.16894746326587207</v>
      </c>
      <c r="L7" s="489">
        <f t="shared" si="0"/>
        <v>0.47152499999999997</v>
      </c>
      <c r="M7" s="490">
        <f t="shared" si="0"/>
        <v>0.48589148410325245</v>
      </c>
      <c r="N7" s="39">
        <v>800</v>
      </c>
      <c r="O7" s="495">
        <f t="shared" si="1"/>
        <v>0.27454952830188684</v>
      </c>
      <c r="P7" s="489">
        <f t="shared" si="2"/>
        <v>0.52701249999999988</v>
      </c>
      <c r="Q7" s="489">
        <f t="shared" si="3"/>
        <v>0.48563195957395267</v>
      </c>
      <c r="R7" s="489">
        <f t="shared" si="4"/>
        <v>0.41016886318531354</v>
      </c>
      <c r="S7" s="490">
        <f t="shared" si="5"/>
        <v>0.29447957198443753</v>
      </c>
      <c r="T7" s="594" t="s">
        <v>13</v>
      </c>
      <c r="U7" s="430" t="s">
        <v>326</v>
      </c>
      <c r="V7" s="436">
        <v>800</v>
      </c>
      <c r="W7" s="495">
        <f t="shared" si="6"/>
        <v>0.34411250000000004</v>
      </c>
      <c r="X7" s="489">
        <f t="shared" si="7"/>
        <v>0.47238767206843013</v>
      </c>
      <c r="Y7" s="489">
        <f t="shared" si="8"/>
        <v>0.20338770334427303</v>
      </c>
      <c r="Z7" s="489">
        <f t="shared" si="9"/>
        <v>0.22057499999999997</v>
      </c>
      <c r="AA7" s="489">
        <f t="shared" si="10"/>
        <v>0.26199374222444138</v>
      </c>
      <c r="AB7" s="489">
        <f t="shared" si="11"/>
        <v>0.11566395890773418</v>
      </c>
      <c r="AC7" s="489">
        <f t="shared" si="12"/>
        <v>0.33964794670213827</v>
      </c>
      <c r="AD7" s="489">
        <f t="shared" si="13"/>
        <v>0.16273749999999998</v>
      </c>
      <c r="AE7" s="489">
        <f t="shared" si="14"/>
        <v>9.4842110596589091E-2</v>
      </c>
      <c r="AF7" s="489">
        <f t="shared" si="15"/>
        <v>0.32736250000000022</v>
      </c>
      <c r="AG7" s="489">
        <f t="shared" si="16"/>
        <v>0.36956250000000002</v>
      </c>
      <c r="AH7" s="489">
        <f t="shared" si="17"/>
        <v>0.40650000000000008</v>
      </c>
      <c r="AI7" s="489">
        <f t="shared" si="18"/>
        <v>0.25039999999999996</v>
      </c>
      <c r="AJ7" s="489">
        <f t="shared" si="19"/>
        <v>0.47060649836464341</v>
      </c>
      <c r="AK7" s="489">
        <f t="shared" si="20"/>
        <v>0.23250707708088281</v>
      </c>
      <c r="AL7" s="489">
        <f t="shared" si="21"/>
        <v>0.3583375000000002</v>
      </c>
      <c r="AM7" s="489">
        <f t="shared" si="22"/>
        <v>0.21944999999999992</v>
      </c>
      <c r="AN7" s="490">
        <f t="shared" si="23"/>
        <v>0.40147500000000003</v>
      </c>
      <c r="AO7" s="591" t="s">
        <v>13</v>
      </c>
      <c r="AP7" s="592"/>
      <c r="AQ7" s="433">
        <v>400</v>
      </c>
      <c r="AR7" s="495">
        <f>IFERROR(BA74/$V7-1,"")</f>
        <v>-0.32467500000000005</v>
      </c>
      <c r="AS7" s="489">
        <f>IFERROR(BB74/$V7-1,"")</f>
        <v>-0.37922500000000003</v>
      </c>
      <c r="AT7" s="489">
        <f>IFERROR(BC74/$V7-1,"")</f>
        <v>-0.34194999999999998</v>
      </c>
      <c r="AU7" s="490">
        <f>IFERROR(BD74/$V7-1,"")</f>
        <v>-0.31825000000000003</v>
      </c>
    </row>
    <row r="8" spans="3:47">
      <c r="C8" s="597"/>
      <c r="D8" s="430" t="s">
        <v>331</v>
      </c>
      <c r="E8" s="39">
        <v>200</v>
      </c>
      <c r="F8" s="489">
        <f t="shared" si="0"/>
        <v>9.9199999999999955E-2</v>
      </c>
      <c r="G8" s="489">
        <f t="shared" si="0"/>
        <v>0.20561293487019561</v>
      </c>
      <c r="H8" s="489">
        <f t="shared" si="0"/>
        <v>0.71552072278789591</v>
      </c>
      <c r="I8" s="489">
        <f t="shared" si="0"/>
        <v>1.0937147982062783</v>
      </c>
      <c r="J8" s="489">
        <f t="shared" si="0"/>
        <v>0.53930000000000011</v>
      </c>
      <c r="K8" s="489">
        <f t="shared" si="0"/>
        <v>0.58103323243788596</v>
      </c>
      <c r="L8" s="489">
        <f t="shared" si="0"/>
        <v>0.49145000000000016</v>
      </c>
      <c r="M8" s="490">
        <f t="shared" si="0"/>
        <v>0.19371528239202651</v>
      </c>
      <c r="N8" s="39">
        <v>200</v>
      </c>
      <c r="O8" s="495">
        <f t="shared" si="1"/>
        <v>0.54620641366755374</v>
      </c>
      <c r="P8" s="489">
        <f t="shared" si="2"/>
        <v>1.0941999999999998</v>
      </c>
      <c r="Q8" s="489">
        <f t="shared" si="3"/>
        <v>1.1101170085097096</v>
      </c>
      <c r="R8" s="489">
        <f t="shared" si="4"/>
        <v>1.6151320512820515</v>
      </c>
      <c r="S8" s="490">
        <f t="shared" si="5"/>
        <v>1.4509245656166123</v>
      </c>
      <c r="T8" s="594"/>
      <c r="U8" s="430" t="s">
        <v>331</v>
      </c>
      <c r="V8" s="436">
        <v>200</v>
      </c>
      <c r="W8" s="495">
        <f t="shared" si="6"/>
        <v>1.3802000000000003</v>
      </c>
      <c r="X8" s="489">
        <f t="shared" si="7"/>
        <v>1.0325441093208245</v>
      </c>
      <c r="Y8" s="489">
        <f t="shared" si="8"/>
        <v>1.5320441546904573</v>
      </c>
      <c r="Z8" s="489">
        <f t="shared" si="9"/>
        <v>1.4899</v>
      </c>
      <c r="AA8" s="489">
        <f t="shared" si="10"/>
        <v>1.7609622517002226</v>
      </c>
      <c r="AB8" s="489">
        <f t="shared" si="11"/>
        <v>1.7960229018395024</v>
      </c>
      <c r="AC8" s="489">
        <f t="shared" si="12"/>
        <v>1.5238755403575293</v>
      </c>
      <c r="AD8" s="489">
        <f t="shared" si="13"/>
        <v>1.7348500000000002</v>
      </c>
      <c r="AE8" s="489">
        <f t="shared" si="14"/>
        <v>3.1675530879001883</v>
      </c>
      <c r="AF8" s="489">
        <f t="shared" si="15"/>
        <v>3.4116499999999998</v>
      </c>
      <c r="AG8" s="489">
        <f t="shared" si="16"/>
        <v>2.9963500000000001</v>
      </c>
      <c r="AH8" s="489">
        <f t="shared" si="17"/>
        <v>3.3559999999999999</v>
      </c>
      <c r="AI8" s="489">
        <f t="shared" si="18"/>
        <v>2.2752499999999998</v>
      </c>
      <c r="AJ8" s="489">
        <f t="shared" si="19"/>
        <v>2.9542922772300018</v>
      </c>
      <c r="AK8" s="489">
        <f t="shared" si="20"/>
        <v>1.33945663504623</v>
      </c>
      <c r="AL8" s="489">
        <f t="shared" si="21"/>
        <v>1.8403377664661433</v>
      </c>
      <c r="AM8" s="489">
        <f t="shared" si="22"/>
        <v>2.30585</v>
      </c>
      <c r="AN8" s="490">
        <f t="shared" si="23"/>
        <v>2.7726500000000001</v>
      </c>
      <c r="AO8" s="429" t="s">
        <v>14</v>
      </c>
      <c r="AP8" s="430" t="s">
        <v>338</v>
      </c>
      <c r="AQ8" s="449">
        <v>150</v>
      </c>
      <c r="AR8" s="495">
        <f t="shared" ref="AR8:AU15" si="24">IFERROR(BA80/$V8-1,"")</f>
        <v>2.1500000000000075E-2</v>
      </c>
      <c r="AS8" s="489">
        <f t="shared" si="24"/>
        <v>-0.11560000000000004</v>
      </c>
      <c r="AT8" s="489">
        <f t="shared" si="24"/>
        <v>0.29794999999999994</v>
      </c>
      <c r="AU8" s="490">
        <f t="shared" si="24"/>
        <v>-4.3100000000000027E-2</v>
      </c>
    </row>
    <row r="9" spans="3:47">
      <c r="C9" s="597"/>
      <c r="D9" s="430" t="s">
        <v>334</v>
      </c>
      <c r="E9" s="39">
        <v>200</v>
      </c>
      <c r="F9" s="489">
        <f t="shared" si="0"/>
        <v>0.79285000000000005</v>
      </c>
      <c r="G9" s="489">
        <f t="shared" si="0"/>
        <v>0.55864370414046127</v>
      </c>
      <c r="H9" s="489">
        <f t="shared" si="0"/>
        <v>0.26248031651829873</v>
      </c>
      <c r="I9" s="489">
        <f t="shared" si="0"/>
        <v>0.27181441301820986</v>
      </c>
      <c r="J9" s="489">
        <f t="shared" si="0"/>
        <v>0.4032</v>
      </c>
      <c r="K9" s="489">
        <f t="shared" si="0"/>
        <v>0.52386738056013171</v>
      </c>
      <c r="L9" s="489">
        <f t="shared" si="0"/>
        <v>0.37629999999999986</v>
      </c>
      <c r="M9" s="490">
        <f t="shared" si="0"/>
        <v>0.21342242668491629</v>
      </c>
      <c r="N9" s="39">
        <v>200</v>
      </c>
      <c r="O9" s="495">
        <f t="shared" si="1"/>
        <v>0.58065165472534996</v>
      </c>
      <c r="P9" s="489">
        <f t="shared" si="2"/>
        <v>0.91430000000000011</v>
      </c>
      <c r="Q9" s="489">
        <f t="shared" si="3"/>
        <v>5.3230519480518268E-3</v>
      </c>
      <c r="R9" s="489">
        <f t="shared" si="4"/>
        <v>0.67765123619147793</v>
      </c>
      <c r="S9" s="490">
        <f t="shared" si="5"/>
        <v>0.67266240031505387</v>
      </c>
      <c r="T9" s="594"/>
      <c r="U9" s="430" t="s">
        <v>334</v>
      </c>
      <c r="V9" s="436">
        <v>200</v>
      </c>
      <c r="W9" s="495">
        <f t="shared" si="6"/>
        <v>-0.20189999999999997</v>
      </c>
      <c r="X9" s="489">
        <f t="shared" si="7"/>
        <v>0.3903092500026113</v>
      </c>
      <c r="Y9" s="489">
        <f t="shared" si="8"/>
        <v>0.45931364102717565</v>
      </c>
      <c r="Z9" s="489">
        <f t="shared" si="9"/>
        <v>0.32379999999999987</v>
      </c>
      <c r="AA9" s="489">
        <f t="shared" si="10"/>
        <v>0.8793661688342993</v>
      </c>
      <c r="AB9" s="489">
        <f t="shared" si="11"/>
        <v>0.54243557222187122</v>
      </c>
      <c r="AC9" s="489">
        <f t="shared" si="12"/>
        <v>0.69978053123069661</v>
      </c>
      <c r="AD9" s="489">
        <f t="shared" si="13"/>
        <v>0.67054999999999998</v>
      </c>
      <c r="AE9" s="489" t="str">
        <f t="shared" si="14"/>
        <v/>
      </c>
      <c r="AF9" s="489">
        <f t="shared" si="15"/>
        <v>1.6208499999999999</v>
      </c>
      <c r="AG9" s="489">
        <f t="shared" si="16"/>
        <v>1.1974499999999999</v>
      </c>
      <c r="AH9" s="489">
        <f t="shared" si="17"/>
        <v>1.2910499999999998</v>
      </c>
      <c r="AI9" s="489">
        <f t="shared" si="18"/>
        <v>1.5731999999999999</v>
      </c>
      <c r="AJ9" s="489">
        <f t="shared" si="19"/>
        <v>1.4242420527050799</v>
      </c>
      <c r="AK9" s="489">
        <f t="shared" si="20"/>
        <v>1.342627757114256</v>
      </c>
      <c r="AL9" s="489">
        <f t="shared" si="21"/>
        <v>1.3252206008011935</v>
      </c>
      <c r="AM9" s="489">
        <f t="shared" si="22"/>
        <v>1.1678500000000001</v>
      </c>
      <c r="AN9" s="490">
        <f t="shared" si="23"/>
        <v>1.2112500000000002</v>
      </c>
      <c r="AO9" s="435"/>
      <c r="AP9" s="430" t="s">
        <v>342</v>
      </c>
      <c r="AQ9" s="449">
        <v>150</v>
      </c>
      <c r="AR9" s="495" t="str">
        <f t="shared" si="24"/>
        <v/>
      </c>
      <c r="AS9" s="489" t="str">
        <f t="shared" si="24"/>
        <v/>
      </c>
      <c r="AT9" s="489" t="str">
        <f t="shared" si="24"/>
        <v/>
      </c>
      <c r="AU9" s="490" t="str">
        <f t="shared" si="24"/>
        <v/>
      </c>
    </row>
    <row r="10" spans="3:47">
      <c r="C10" s="598"/>
      <c r="D10" s="430" t="s">
        <v>336</v>
      </c>
      <c r="E10" s="39">
        <v>200</v>
      </c>
      <c r="F10" s="489">
        <f t="shared" si="0"/>
        <v>2.2135000000000002</v>
      </c>
      <c r="G10" s="489">
        <f t="shared" si="0"/>
        <v>1.9968061142397424</v>
      </c>
      <c r="H10" s="489">
        <f t="shared" si="0"/>
        <v>2.0859133709981172</v>
      </c>
      <c r="I10" s="489">
        <f t="shared" si="0"/>
        <v>1.7408003687562861</v>
      </c>
      <c r="J10" s="489">
        <f t="shared" si="0"/>
        <v>1.3200500000000002</v>
      </c>
      <c r="K10" s="489">
        <f t="shared" si="0"/>
        <v>1.1548693534100973</v>
      </c>
      <c r="L10" s="489">
        <f t="shared" si="0"/>
        <v>1.2848999999999999</v>
      </c>
      <c r="M10" s="490">
        <f t="shared" si="0"/>
        <v>1.2673023852447649</v>
      </c>
      <c r="N10" s="39">
        <v>200</v>
      </c>
      <c r="O10" s="495" t="str">
        <f t="shared" si="1"/>
        <v/>
      </c>
      <c r="P10" s="489">
        <f t="shared" si="2"/>
        <v>2.1723500000000002</v>
      </c>
      <c r="Q10" s="489">
        <f t="shared" si="3"/>
        <v>0.82028195698205697</v>
      </c>
      <c r="R10" s="489">
        <f t="shared" si="4"/>
        <v>1.5798279128512784</v>
      </c>
      <c r="S10" s="490">
        <f t="shared" si="5"/>
        <v>0.90269691100997362</v>
      </c>
      <c r="T10" s="594"/>
      <c r="U10" s="430" t="s">
        <v>336</v>
      </c>
      <c r="V10" s="436">
        <v>200</v>
      </c>
      <c r="W10" s="495" t="str">
        <f t="shared" si="6"/>
        <v/>
      </c>
      <c r="X10" s="489" t="str">
        <f t="shared" si="7"/>
        <v/>
      </c>
      <c r="Y10" s="489" t="str">
        <f t="shared" si="8"/>
        <v/>
      </c>
      <c r="Z10" s="489" t="str">
        <f t="shared" si="9"/>
        <v/>
      </c>
      <c r="AA10" s="489" t="str">
        <f t="shared" si="10"/>
        <v/>
      </c>
      <c r="AB10" s="489" t="str">
        <f t="shared" si="11"/>
        <v/>
      </c>
      <c r="AC10" s="489" t="str">
        <f t="shared" si="12"/>
        <v/>
      </c>
      <c r="AD10" s="489" t="str">
        <f t="shared" si="13"/>
        <v/>
      </c>
      <c r="AE10" s="489" t="str">
        <f t="shared" si="14"/>
        <v/>
      </c>
      <c r="AF10" s="489" t="str">
        <f t="shared" si="15"/>
        <v/>
      </c>
      <c r="AG10" s="489" t="str">
        <f t="shared" si="16"/>
        <v/>
      </c>
      <c r="AH10" s="489" t="str">
        <f t="shared" si="17"/>
        <v/>
      </c>
      <c r="AI10" s="489" t="str">
        <f t="shared" si="18"/>
        <v/>
      </c>
      <c r="AJ10" s="489" t="str">
        <f t="shared" si="19"/>
        <v/>
      </c>
      <c r="AK10" s="489" t="str">
        <f t="shared" si="20"/>
        <v/>
      </c>
      <c r="AL10" s="489" t="str">
        <f t="shared" si="21"/>
        <v/>
      </c>
      <c r="AM10" s="489" t="str">
        <f t="shared" si="22"/>
        <v/>
      </c>
      <c r="AN10" s="490" t="str">
        <f t="shared" si="23"/>
        <v/>
      </c>
      <c r="AO10" s="435"/>
      <c r="AP10" s="430" t="s">
        <v>340</v>
      </c>
      <c r="AQ10" s="449">
        <v>130</v>
      </c>
      <c r="AR10" s="495">
        <f t="shared" si="24"/>
        <v>0.51160000000000005</v>
      </c>
      <c r="AS10" s="489" t="str">
        <f t="shared" si="24"/>
        <v/>
      </c>
      <c r="AT10" s="489" t="str">
        <f t="shared" si="24"/>
        <v/>
      </c>
      <c r="AU10" s="490" t="str">
        <f t="shared" si="24"/>
        <v/>
      </c>
    </row>
    <row r="11" spans="3:47">
      <c r="C11" s="596" t="s">
        <v>14</v>
      </c>
      <c r="D11" s="430" t="s">
        <v>338</v>
      </c>
      <c r="E11" s="39">
        <v>150</v>
      </c>
      <c r="F11" s="489">
        <f t="shared" si="0"/>
        <v>-0.20399999999999996</v>
      </c>
      <c r="G11" s="489">
        <f t="shared" si="0"/>
        <v>-0.1381473844416623</v>
      </c>
      <c r="H11" s="489" t="str">
        <f t="shared" si="0"/>
        <v/>
      </c>
      <c r="I11" s="489">
        <f t="shared" si="0"/>
        <v>-0.25214570156945415</v>
      </c>
      <c r="J11" s="489">
        <f t="shared" si="0"/>
        <v>-0.29780000000000006</v>
      </c>
      <c r="K11" s="489">
        <f t="shared" si="0"/>
        <v>0.17153063755223052</v>
      </c>
      <c r="L11" s="489">
        <f t="shared" si="0"/>
        <v>0.36060000000000003</v>
      </c>
      <c r="M11" s="490">
        <f t="shared" si="0"/>
        <v>0.33999276106627518</v>
      </c>
      <c r="N11" s="39">
        <v>150</v>
      </c>
      <c r="O11" s="495">
        <f t="shared" si="1"/>
        <v>0.1916734532033979</v>
      </c>
      <c r="P11" s="489" t="str">
        <f t="shared" si="2"/>
        <v/>
      </c>
      <c r="Q11" s="489">
        <f t="shared" si="3"/>
        <v>-3.5791298512470648E-2</v>
      </c>
      <c r="R11" s="489">
        <f t="shared" si="4"/>
        <v>0.60091684803261147</v>
      </c>
      <c r="S11" s="490">
        <f t="shared" si="5"/>
        <v>9.6391078316283796E-2</v>
      </c>
      <c r="T11" s="594"/>
      <c r="U11" s="440" t="s">
        <v>340</v>
      </c>
      <c r="V11" s="436">
        <v>200</v>
      </c>
      <c r="W11" s="495">
        <f t="shared" si="6"/>
        <v>0.55585000000000018</v>
      </c>
      <c r="X11" s="489">
        <f t="shared" si="7"/>
        <v>0.19407019154128924</v>
      </c>
      <c r="Y11" s="489">
        <f t="shared" si="8"/>
        <v>6.2835014923475541E-2</v>
      </c>
      <c r="Z11" s="489">
        <f t="shared" si="9"/>
        <v>0.65425000000000022</v>
      </c>
      <c r="AA11" s="489">
        <f t="shared" si="10"/>
        <v>0.24790064352392083</v>
      </c>
      <c r="AB11" s="489">
        <f t="shared" si="11"/>
        <v>0.29963223002174466</v>
      </c>
      <c r="AC11" s="489">
        <f t="shared" si="12"/>
        <v>0.17091402933056066</v>
      </c>
      <c r="AD11" s="489">
        <f t="shared" si="13"/>
        <v>8.9450000000000029E-2</v>
      </c>
      <c r="AE11" s="489">
        <f t="shared" si="14"/>
        <v>0.97896659291547916</v>
      </c>
      <c r="AF11" s="489">
        <f t="shared" si="15"/>
        <v>1.2913999999999999</v>
      </c>
      <c r="AG11" s="489">
        <f t="shared" si="16"/>
        <v>1.1158999999999999</v>
      </c>
      <c r="AH11" s="489">
        <f t="shared" si="17"/>
        <v>1.5788500000000001</v>
      </c>
      <c r="AI11" s="489">
        <f t="shared" si="18"/>
        <v>1.3550999999999997</v>
      </c>
      <c r="AJ11" s="489">
        <f t="shared" si="19"/>
        <v>1.4699864661639723</v>
      </c>
      <c r="AK11" s="489">
        <f t="shared" si="20"/>
        <v>4.3700000000000072E-2</v>
      </c>
      <c r="AL11" s="489">
        <f t="shared" si="21"/>
        <v>1.0341</v>
      </c>
      <c r="AM11" s="489">
        <f t="shared" si="22"/>
        <v>0.68080000000000007</v>
      </c>
      <c r="AN11" s="490">
        <f t="shared" si="23"/>
        <v>1.3444500000000001</v>
      </c>
      <c r="AO11" s="435"/>
      <c r="AP11" s="430" t="s">
        <v>349</v>
      </c>
      <c r="AQ11" s="449">
        <v>250</v>
      </c>
      <c r="AR11" s="495" t="str">
        <f t="shared" si="24"/>
        <v/>
      </c>
      <c r="AS11" s="489">
        <f t="shared" si="24"/>
        <v>0.79444999999999988</v>
      </c>
      <c r="AT11" s="489" t="str">
        <f t="shared" si="24"/>
        <v/>
      </c>
      <c r="AU11" s="490" t="str">
        <f t="shared" si="24"/>
        <v/>
      </c>
    </row>
    <row r="12" spans="3:47">
      <c r="C12" s="597"/>
      <c r="D12" s="430" t="s">
        <v>342</v>
      </c>
      <c r="E12" s="39">
        <v>150</v>
      </c>
      <c r="F12" s="489" t="str">
        <f t="shared" si="0"/>
        <v/>
      </c>
      <c r="G12" s="489" t="str">
        <f t="shared" si="0"/>
        <v/>
      </c>
      <c r="H12" s="489" t="str">
        <f t="shared" si="0"/>
        <v/>
      </c>
      <c r="I12" s="489" t="str">
        <f t="shared" si="0"/>
        <v/>
      </c>
      <c r="J12" s="489" t="str">
        <f t="shared" si="0"/>
        <v/>
      </c>
      <c r="K12" s="489" t="str">
        <f t="shared" si="0"/>
        <v/>
      </c>
      <c r="L12" s="489" t="str">
        <f t="shared" si="0"/>
        <v/>
      </c>
      <c r="M12" s="490" t="str">
        <f t="shared" si="0"/>
        <v/>
      </c>
      <c r="N12" s="39">
        <v>150</v>
      </c>
      <c r="O12" s="495" t="str">
        <f t="shared" si="1"/>
        <v/>
      </c>
      <c r="P12" s="489" t="str">
        <f t="shared" si="2"/>
        <v/>
      </c>
      <c r="Q12" s="489" t="str">
        <f t="shared" si="3"/>
        <v/>
      </c>
      <c r="R12" s="489" t="str">
        <f t="shared" si="4"/>
        <v/>
      </c>
      <c r="S12" s="490" t="str">
        <f t="shared" si="5"/>
        <v/>
      </c>
      <c r="T12" s="594"/>
      <c r="U12" s="440" t="s">
        <v>343</v>
      </c>
      <c r="V12" s="436">
        <v>360</v>
      </c>
      <c r="W12" s="495">
        <f t="shared" si="6"/>
        <v>-0.36366666666666658</v>
      </c>
      <c r="X12" s="489">
        <f t="shared" si="7"/>
        <v>-1.5557686330404108E-3</v>
      </c>
      <c r="Y12" s="489">
        <f t="shared" si="8"/>
        <v>0.13329821916396067</v>
      </c>
      <c r="Z12" s="489">
        <f t="shared" si="9"/>
        <v>0.22538888888888886</v>
      </c>
      <c r="AA12" s="489" t="str">
        <f t="shared" si="10"/>
        <v/>
      </c>
      <c r="AB12" s="489">
        <f t="shared" si="11"/>
        <v>6.4180445343985815E-2</v>
      </c>
      <c r="AC12" s="489">
        <f t="shared" si="12"/>
        <v>0.44331432269435078</v>
      </c>
      <c r="AD12" s="489" t="str">
        <f t="shared" si="13"/>
        <v/>
      </c>
      <c r="AE12" s="489" t="str">
        <f t="shared" si="14"/>
        <v/>
      </c>
      <c r="AF12" s="489">
        <f t="shared" si="15"/>
        <v>0.23427777777777781</v>
      </c>
      <c r="AG12" s="489">
        <f t="shared" si="16"/>
        <v>0.62519444444444461</v>
      </c>
      <c r="AH12" s="489">
        <f t="shared" si="17"/>
        <v>0.32019444444444445</v>
      </c>
      <c r="AI12" s="489">
        <f t="shared" si="18"/>
        <v>1.322861111111111</v>
      </c>
      <c r="AJ12" s="489">
        <f t="shared" si="19"/>
        <v>1.137640981884438</v>
      </c>
      <c r="AK12" s="489" t="str">
        <f t="shared" si="20"/>
        <v/>
      </c>
      <c r="AL12" s="489">
        <f t="shared" si="21"/>
        <v>0.8513887971568983</v>
      </c>
      <c r="AM12" s="489" t="str">
        <f t="shared" si="22"/>
        <v/>
      </c>
      <c r="AN12" s="490" t="str">
        <f t="shared" si="23"/>
        <v/>
      </c>
      <c r="AO12" s="438"/>
      <c r="AP12" s="430" t="s">
        <v>352</v>
      </c>
      <c r="AQ12" s="449">
        <v>40</v>
      </c>
      <c r="AR12" s="495" t="str">
        <f t="shared" si="24"/>
        <v/>
      </c>
      <c r="AS12" s="489" t="str">
        <f t="shared" si="24"/>
        <v/>
      </c>
      <c r="AT12" s="489" t="str">
        <f t="shared" si="24"/>
        <v/>
      </c>
      <c r="AU12" s="490" t="str">
        <f t="shared" si="24"/>
        <v/>
      </c>
    </row>
    <row r="13" spans="3:47" ht="15" customHeight="1">
      <c r="C13" s="597"/>
      <c r="D13" s="430" t="s">
        <v>346</v>
      </c>
      <c r="E13" s="39">
        <v>130</v>
      </c>
      <c r="F13" s="489">
        <f t="shared" si="0"/>
        <v>0.27492307692307705</v>
      </c>
      <c r="G13" s="489">
        <f t="shared" si="0"/>
        <v>0.66605943753739782</v>
      </c>
      <c r="H13" s="489">
        <f t="shared" si="0"/>
        <v>1.2536263741510871</v>
      </c>
      <c r="I13" s="489" t="str">
        <f t="shared" si="0"/>
        <v/>
      </c>
      <c r="J13" s="489">
        <f t="shared" si="0"/>
        <v>0.42161538461538473</v>
      </c>
      <c r="K13" s="489">
        <f t="shared" si="0"/>
        <v>0.70189427312775332</v>
      </c>
      <c r="L13" s="489">
        <f t="shared" si="0"/>
        <v>0.10984615384615393</v>
      </c>
      <c r="M13" s="490">
        <f t="shared" si="0"/>
        <v>0.96629370629370626</v>
      </c>
      <c r="N13" s="39">
        <v>130</v>
      </c>
      <c r="O13" s="495" t="str">
        <f t="shared" si="1"/>
        <v/>
      </c>
      <c r="P13" s="489">
        <f t="shared" si="2"/>
        <v>1.8615384615384478E-2</v>
      </c>
      <c r="Q13" s="489">
        <f t="shared" si="3"/>
        <v>0.10592948717948736</v>
      </c>
      <c r="R13" s="489" t="str">
        <f t="shared" si="4"/>
        <v/>
      </c>
      <c r="S13" s="490" t="str">
        <f t="shared" si="5"/>
        <v/>
      </c>
      <c r="T13" s="594" t="s">
        <v>14</v>
      </c>
      <c r="U13" s="430" t="s">
        <v>338</v>
      </c>
      <c r="V13" s="436">
        <v>150</v>
      </c>
      <c r="W13" s="495" t="str">
        <f t="shared" si="6"/>
        <v/>
      </c>
      <c r="X13" s="489" t="str">
        <f t="shared" si="7"/>
        <v/>
      </c>
      <c r="Y13" s="489" t="str">
        <f t="shared" si="8"/>
        <v/>
      </c>
      <c r="Z13" s="489">
        <f t="shared" si="9"/>
        <v>-0.13713333333333333</v>
      </c>
      <c r="AA13" s="489" t="str">
        <f t="shared" si="10"/>
        <v/>
      </c>
      <c r="AB13" s="489" t="str">
        <f t="shared" si="11"/>
        <v/>
      </c>
      <c r="AC13" s="489" t="str">
        <f t="shared" si="12"/>
        <v/>
      </c>
      <c r="AD13" s="489" t="str">
        <f t="shared" si="13"/>
        <v/>
      </c>
      <c r="AE13" s="489" t="str">
        <f t="shared" si="14"/>
        <v/>
      </c>
      <c r="AF13" s="489" t="str">
        <f t="shared" si="15"/>
        <v/>
      </c>
      <c r="AG13" s="489" t="str">
        <f t="shared" si="16"/>
        <v/>
      </c>
      <c r="AH13" s="489" t="str">
        <f t="shared" si="17"/>
        <v/>
      </c>
      <c r="AI13" s="489">
        <f t="shared" si="18"/>
        <v>6.5066666666666606E-2</v>
      </c>
      <c r="AJ13" s="489">
        <f t="shared" si="19"/>
        <v>0.10331606461583021</v>
      </c>
      <c r="AK13" s="489">
        <f t="shared" si="20"/>
        <v>0.17013333333333347</v>
      </c>
      <c r="AL13" s="489">
        <f t="shared" si="21"/>
        <v>0.28593411987889139</v>
      </c>
      <c r="AM13" s="489">
        <f t="shared" si="22"/>
        <v>0.34873333333333334</v>
      </c>
      <c r="AN13" s="490">
        <f t="shared" si="23"/>
        <v>0.25800000000000001</v>
      </c>
      <c r="AO13" s="588" t="s">
        <v>355</v>
      </c>
      <c r="AP13" s="430" t="s">
        <v>356</v>
      </c>
      <c r="AQ13" s="449">
        <v>80</v>
      </c>
      <c r="AR13" s="495">
        <f t="shared" si="24"/>
        <v>-0.42333333333333334</v>
      </c>
      <c r="AS13" s="489">
        <f t="shared" si="24"/>
        <v>-0.46466666666666667</v>
      </c>
      <c r="AT13" s="489">
        <f t="shared" si="24"/>
        <v>-0.43613333333333337</v>
      </c>
      <c r="AU13" s="490">
        <f t="shared" si="24"/>
        <v>-0.45699999999999996</v>
      </c>
    </row>
    <row r="14" spans="3:47">
      <c r="C14" s="597"/>
      <c r="D14" s="430" t="s">
        <v>349</v>
      </c>
      <c r="E14" s="39">
        <v>250</v>
      </c>
      <c r="F14" s="489" t="str">
        <f t="shared" si="0"/>
        <v/>
      </c>
      <c r="G14" s="489">
        <f t="shared" si="0"/>
        <v>0.64471285862702787</v>
      </c>
      <c r="H14" s="489">
        <f t="shared" si="0"/>
        <v>0.3480469084095672</v>
      </c>
      <c r="I14" s="489">
        <f t="shared" si="0"/>
        <v>0.52888021244527361</v>
      </c>
      <c r="J14" s="489">
        <f t="shared" si="0"/>
        <v>5.0559999999999938E-2</v>
      </c>
      <c r="K14" s="489">
        <f t="shared" si="0"/>
        <v>0.29878621855844423</v>
      </c>
      <c r="L14" s="489">
        <f t="shared" si="0"/>
        <v>0.66668000000000016</v>
      </c>
      <c r="M14" s="490">
        <f t="shared" si="0"/>
        <v>-0.15867494089834511</v>
      </c>
      <c r="N14" s="39">
        <v>250</v>
      </c>
      <c r="O14" s="495">
        <f t="shared" si="1"/>
        <v>0.50639901417128774</v>
      </c>
      <c r="P14" s="489">
        <f t="shared" si="2"/>
        <v>-7.1200000000000152E-3</v>
      </c>
      <c r="Q14" s="489">
        <f t="shared" si="3"/>
        <v>5.6445868033312419E-3</v>
      </c>
      <c r="R14" s="489">
        <f t="shared" si="4"/>
        <v>0.6861978359971439</v>
      </c>
      <c r="S14" s="490">
        <f t="shared" si="5"/>
        <v>0.79472069464544148</v>
      </c>
      <c r="T14" s="594"/>
      <c r="U14" s="430" t="s">
        <v>342</v>
      </c>
      <c r="V14" s="436">
        <v>150</v>
      </c>
      <c r="W14" s="495" t="str">
        <f t="shared" si="6"/>
        <v/>
      </c>
      <c r="X14" s="489" t="str">
        <f t="shared" si="7"/>
        <v/>
      </c>
      <c r="Y14" s="489" t="str">
        <f t="shared" si="8"/>
        <v/>
      </c>
      <c r="Z14" s="489" t="str">
        <f t="shared" si="9"/>
        <v/>
      </c>
      <c r="AA14" s="489" t="str">
        <f t="shared" si="10"/>
        <v/>
      </c>
      <c r="AB14" s="489" t="str">
        <f t="shared" si="11"/>
        <v/>
      </c>
      <c r="AC14" s="489" t="str">
        <f t="shared" si="12"/>
        <v/>
      </c>
      <c r="AD14" s="489" t="str">
        <f t="shared" si="13"/>
        <v/>
      </c>
      <c r="AE14" s="489" t="str">
        <f t="shared" si="14"/>
        <v/>
      </c>
      <c r="AF14" s="489" t="str">
        <f t="shared" si="15"/>
        <v/>
      </c>
      <c r="AG14" s="489" t="str">
        <f t="shared" si="16"/>
        <v/>
      </c>
      <c r="AH14" s="489" t="str">
        <f t="shared" si="17"/>
        <v/>
      </c>
      <c r="AI14" s="489" t="str">
        <f t="shared" si="18"/>
        <v/>
      </c>
      <c r="AJ14" s="489" t="str">
        <f t="shared" si="19"/>
        <v/>
      </c>
      <c r="AK14" s="489" t="str">
        <f t="shared" si="20"/>
        <v/>
      </c>
      <c r="AL14" s="489" t="str">
        <f t="shared" si="21"/>
        <v/>
      </c>
      <c r="AM14" s="489" t="str">
        <f t="shared" si="22"/>
        <v/>
      </c>
      <c r="AN14" s="490" t="str">
        <f t="shared" si="23"/>
        <v/>
      </c>
      <c r="AO14" s="589"/>
      <c r="AP14" s="430" t="s">
        <v>359</v>
      </c>
      <c r="AQ14" s="449">
        <v>30</v>
      </c>
      <c r="AR14" s="495" t="str">
        <f t="shared" si="24"/>
        <v/>
      </c>
      <c r="AS14" s="489" t="str">
        <f t="shared" si="24"/>
        <v/>
      </c>
      <c r="AT14" s="489" t="str">
        <f t="shared" si="24"/>
        <v/>
      </c>
      <c r="AU14" s="490" t="str">
        <f t="shared" si="24"/>
        <v/>
      </c>
    </row>
    <row r="15" spans="3:47">
      <c r="C15" s="598"/>
      <c r="D15" s="430" t="s">
        <v>352</v>
      </c>
      <c r="E15" s="39">
        <v>40</v>
      </c>
      <c r="F15" s="489" t="str">
        <f t="shared" si="0"/>
        <v/>
      </c>
      <c r="G15" s="489">
        <f t="shared" si="0"/>
        <v>0.44296072067573755</v>
      </c>
      <c r="H15" s="489">
        <f t="shared" si="0"/>
        <v>0.74268835616438378</v>
      </c>
      <c r="I15" s="489" t="str">
        <f t="shared" si="0"/>
        <v/>
      </c>
      <c r="J15" s="489">
        <f t="shared" si="0"/>
        <v>1.8922499999999998</v>
      </c>
      <c r="K15" s="489" t="str">
        <f t="shared" si="0"/>
        <v/>
      </c>
      <c r="L15" s="489" t="str">
        <f t="shared" si="0"/>
        <v/>
      </c>
      <c r="M15" s="490" t="str">
        <f t="shared" si="0"/>
        <v/>
      </c>
      <c r="N15" s="39">
        <v>40</v>
      </c>
      <c r="O15" s="495" t="str">
        <f t="shared" si="1"/>
        <v/>
      </c>
      <c r="P15" s="489" t="str">
        <f t="shared" si="2"/>
        <v/>
      </c>
      <c r="Q15" s="489" t="str">
        <f t="shared" si="3"/>
        <v/>
      </c>
      <c r="R15" s="489" t="str">
        <f t="shared" si="4"/>
        <v/>
      </c>
      <c r="S15" s="490" t="str">
        <f t="shared" si="5"/>
        <v/>
      </c>
      <c r="T15" s="594"/>
      <c r="U15" s="430" t="s">
        <v>340</v>
      </c>
      <c r="V15" s="436">
        <v>130</v>
      </c>
      <c r="W15" s="495">
        <f t="shared" si="6"/>
        <v>0.50892307692307681</v>
      </c>
      <c r="X15" s="489">
        <f t="shared" si="7"/>
        <v>1.1604413723231937</v>
      </c>
      <c r="Y15" s="489">
        <f t="shared" si="8"/>
        <v>0.52530130814931209</v>
      </c>
      <c r="Z15" s="489" t="str">
        <f t="shared" si="9"/>
        <v/>
      </c>
      <c r="AA15" s="489">
        <f t="shared" si="10"/>
        <v>0.59050865006599285</v>
      </c>
      <c r="AB15" s="489">
        <f t="shared" si="11"/>
        <v>0.28392307692307694</v>
      </c>
      <c r="AC15" s="489">
        <f t="shared" si="12"/>
        <v>0.35538051425008166</v>
      </c>
      <c r="AD15" s="489">
        <f t="shared" si="13"/>
        <v>9.8307692307692207E-2</v>
      </c>
      <c r="AE15" s="489">
        <f t="shared" si="14"/>
        <v>0.16281088222662476</v>
      </c>
      <c r="AF15" s="489">
        <f t="shared" si="15"/>
        <v>0.29415384615384621</v>
      </c>
      <c r="AG15" s="489">
        <f t="shared" si="16"/>
        <v>0.55569230769230771</v>
      </c>
      <c r="AH15" s="489">
        <f t="shared" si="17"/>
        <v>0.37630769230769223</v>
      </c>
      <c r="AI15" s="489">
        <f t="shared" si="18"/>
        <v>0.23753846153846148</v>
      </c>
      <c r="AJ15" s="489">
        <f t="shared" si="19"/>
        <v>0.56846567589036967</v>
      </c>
      <c r="AK15" s="489">
        <f t="shared" si="20"/>
        <v>1.6615384615384698E-2</v>
      </c>
      <c r="AL15" s="489">
        <f t="shared" si="21"/>
        <v>3.4345931742827185E-2</v>
      </c>
      <c r="AM15" s="489">
        <f t="shared" si="22"/>
        <v>0.54376923076923078</v>
      </c>
      <c r="AN15" s="490">
        <f t="shared" si="23"/>
        <v>1.2201538461538464</v>
      </c>
      <c r="AO15" s="590"/>
      <c r="AP15" s="430" t="s">
        <v>363</v>
      </c>
      <c r="AQ15" s="449">
        <v>15</v>
      </c>
      <c r="AR15" s="496">
        <f t="shared" si="24"/>
        <v>-0.77307692307692311</v>
      </c>
      <c r="AS15" s="491">
        <f t="shared" si="24"/>
        <v>-0.88</v>
      </c>
      <c r="AT15" s="491">
        <f t="shared" si="24"/>
        <v>-0.87969230769230766</v>
      </c>
      <c r="AU15" s="492">
        <f t="shared" si="24"/>
        <v>-0.87384615384615383</v>
      </c>
    </row>
    <row r="16" spans="3:47">
      <c r="C16" s="588" t="s">
        <v>355</v>
      </c>
      <c r="D16" s="430" t="s">
        <v>356</v>
      </c>
      <c r="E16" s="39">
        <v>80</v>
      </c>
      <c r="F16" s="489" t="str">
        <f t="shared" si="0"/>
        <v/>
      </c>
      <c r="G16" s="489">
        <f t="shared" si="0"/>
        <v>2.3428842805129024E-2</v>
      </c>
      <c r="H16" s="489" t="str">
        <f t="shared" si="0"/>
        <v/>
      </c>
      <c r="I16" s="489" t="str">
        <f t="shared" si="0"/>
        <v/>
      </c>
      <c r="J16" s="489" t="str">
        <f t="shared" si="0"/>
        <v/>
      </c>
      <c r="K16" s="489" t="str">
        <f t="shared" si="0"/>
        <v/>
      </c>
      <c r="L16" s="489" t="str">
        <f t="shared" si="0"/>
        <v/>
      </c>
      <c r="M16" s="490" t="str">
        <f t="shared" si="0"/>
        <v/>
      </c>
      <c r="N16" s="39">
        <v>80</v>
      </c>
      <c r="O16" s="495" t="str">
        <f t="shared" si="1"/>
        <v/>
      </c>
      <c r="P16" s="489" t="str">
        <f t="shared" si="2"/>
        <v/>
      </c>
      <c r="Q16" s="489" t="str">
        <f t="shared" si="3"/>
        <v/>
      </c>
      <c r="R16" s="489" t="str">
        <f t="shared" si="4"/>
        <v/>
      </c>
      <c r="S16" s="490" t="str">
        <f t="shared" si="5"/>
        <v/>
      </c>
      <c r="T16" s="594"/>
      <c r="U16" s="430" t="s">
        <v>349</v>
      </c>
      <c r="V16" s="436">
        <v>250</v>
      </c>
      <c r="W16" s="495">
        <f t="shared" si="6"/>
        <v>0.78479999999999994</v>
      </c>
      <c r="X16" s="489" t="str">
        <f t="shared" si="7"/>
        <v/>
      </c>
      <c r="Y16" s="489" t="str">
        <f t="shared" si="8"/>
        <v/>
      </c>
      <c r="Z16" s="489" t="str">
        <f t="shared" si="9"/>
        <v/>
      </c>
      <c r="AA16" s="489">
        <f t="shared" si="10"/>
        <v>0.57762627884645923</v>
      </c>
      <c r="AB16" s="489">
        <f t="shared" si="11"/>
        <v>0.57567843224561699</v>
      </c>
      <c r="AC16" s="489" t="str">
        <f t="shared" si="12"/>
        <v/>
      </c>
      <c r="AD16" s="489">
        <f t="shared" si="13"/>
        <v>0.29835999999999996</v>
      </c>
      <c r="AE16" s="489">
        <f t="shared" si="14"/>
        <v>0.23875806794648247</v>
      </c>
      <c r="AF16" s="489">
        <f t="shared" si="15"/>
        <v>0.53511999999999982</v>
      </c>
      <c r="AG16" s="489">
        <f t="shared" si="16"/>
        <v>0.59328000000000003</v>
      </c>
      <c r="AH16" s="489">
        <f t="shared" si="17"/>
        <v>0.45659999999999989</v>
      </c>
      <c r="AI16" s="489" t="str">
        <f t="shared" si="18"/>
        <v/>
      </c>
      <c r="AJ16" s="489">
        <f t="shared" si="19"/>
        <v>8.7621615254052765E-2</v>
      </c>
      <c r="AK16" s="489" t="str">
        <f t="shared" si="20"/>
        <v/>
      </c>
      <c r="AL16" s="489" t="str">
        <f t="shared" si="21"/>
        <v/>
      </c>
      <c r="AM16" s="489">
        <f t="shared" si="22"/>
        <v>0.65304000000000006</v>
      </c>
      <c r="AN16" s="490">
        <f t="shared" si="23"/>
        <v>0.85548000000000002</v>
      </c>
    </row>
    <row r="17" spans="3:51">
      <c r="C17" s="589"/>
      <c r="D17" s="430" t="s">
        <v>359</v>
      </c>
      <c r="E17" s="39">
        <v>30</v>
      </c>
      <c r="F17" s="489" t="str">
        <f t="shared" si="0"/>
        <v/>
      </c>
      <c r="G17" s="489" t="str">
        <f t="shared" si="0"/>
        <v/>
      </c>
      <c r="H17" s="489" t="str">
        <f t="shared" si="0"/>
        <v/>
      </c>
      <c r="I17" s="489" t="str">
        <f t="shared" si="0"/>
        <v/>
      </c>
      <c r="J17" s="489" t="str">
        <f t="shared" si="0"/>
        <v/>
      </c>
      <c r="K17" s="489" t="str">
        <f t="shared" si="0"/>
        <v/>
      </c>
      <c r="L17" s="489" t="str">
        <f t="shared" si="0"/>
        <v/>
      </c>
      <c r="M17" s="490" t="str">
        <f t="shared" si="0"/>
        <v/>
      </c>
      <c r="N17" s="39">
        <v>30</v>
      </c>
      <c r="O17" s="495" t="str">
        <f t="shared" si="1"/>
        <v/>
      </c>
      <c r="P17" s="489" t="str">
        <f t="shared" si="2"/>
        <v/>
      </c>
      <c r="Q17" s="489" t="str">
        <f t="shared" si="3"/>
        <v/>
      </c>
      <c r="R17" s="489" t="str">
        <f t="shared" si="4"/>
        <v/>
      </c>
      <c r="S17" s="490" t="str">
        <f t="shared" si="5"/>
        <v/>
      </c>
      <c r="T17" s="594"/>
      <c r="U17" s="430" t="s">
        <v>352</v>
      </c>
      <c r="V17" s="436">
        <v>40</v>
      </c>
      <c r="W17" s="495" t="str">
        <f t="shared" si="6"/>
        <v/>
      </c>
      <c r="X17" s="489" t="str">
        <f t="shared" si="7"/>
        <v/>
      </c>
      <c r="Y17" s="489" t="str">
        <f t="shared" si="8"/>
        <v/>
      </c>
      <c r="Z17" s="489">
        <f t="shared" si="9"/>
        <v>0.1964999999999999</v>
      </c>
      <c r="AA17" s="489" t="str">
        <f t="shared" si="10"/>
        <v/>
      </c>
      <c r="AB17" s="489" t="str">
        <f t="shared" si="11"/>
        <v/>
      </c>
      <c r="AC17" s="489" t="str">
        <f t="shared" si="12"/>
        <v/>
      </c>
      <c r="AD17" s="489" t="str">
        <f t="shared" si="13"/>
        <v/>
      </c>
      <c r="AE17" s="489" t="str">
        <f t="shared" si="14"/>
        <v/>
      </c>
      <c r="AF17" s="489" t="str">
        <f t="shared" si="15"/>
        <v/>
      </c>
      <c r="AG17" s="489" t="str">
        <f t="shared" si="16"/>
        <v/>
      </c>
      <c r="AH17" s="489" t="str">
        <f t="shared" si="17"/>
        <v/>
      </c>
      <c r="AI17" s="489" t="str">
        <f t="shared" si="18"/>
        <v/>
      </c>
      <c r="AJ17" s="489" t="str">
        <f t="shared" si="19"/>
        <v/>
      </c>
      <c r="AK17" s="489" t="str">
        <f t="shared" si="20"/>
        <v/>
      </c>
      <c r="AL17" s="489" t="str">
        <f t="shared" si="21"/>
        <v/>
      </c>
      <c r="AM17" s="489">
        <f t="shared" si="22"/>
        <v>0.92086206845854268</v>
      </c>
      <c r="AN17" s="490" t="str">
        <f t="shared" si="23"/>
        <v/>
      </c>
    </row>
    <row r="18" spans="3:51">
      <c r="C18" s="590"/>
      <c r="D18" s="430" t="s">
        <v>363</v>
      </c>
      <c r="E18" s="334">
        <v>15</v>
      </c>
      <c r="F18" s="491" t="str">
        <f t="shared" si="0"/>
        <v/>
      </c>
      <c r="G18" s="491" t="str">
        <f t="shared" si="0"/>
        <v/>
      </c>
      <c r="H18" s="491" t="str">
        <f t="shared" si="0"/>
        <v/>
      </c>
      <c r="I18" s="491" t="str">
        <f t="shared" si="0"/>
        <v/>
      </c>
      <c r="J18" s="491" t="str">
        <f t="shared" si="0"/>
        <v/>
      </c>
      <c r="K18" s="491" t="str">
        <f t="shared" si="0"/>
        <v/>
      </c>
      <c r="L18" s="491" t="str">
        <f t="shared" si="0"/>
        <v/>
      </c>
      <c r="M18" s="492" t="str">
        <f t="shared" si="0"/>
        <v/>
      </c>
      <c r="N18" s="334">
        <v>15</v>
      </c>
      <c r="O18" s="496" t="str">
        <f t="shared" si="1"/>
        <v/>
      </c>
      <c r="P18" s="491" t="str">
        <f t="shared" si="2"/>
        <v/>
      </c>
      <c r="Q18" s="491" t="str">
        <f t="shared" si="3"/>
        <v/>
      </c>
      <c r="R18" s="491" t="str">
        <f t="shared" si="4"/>
        <v/>
      </c>
      <c r="S18" s="492" t="str">
        <f t="shared" si="5"/>
        <v/>
      </c>
      <c r="T18" s="593" t="s">
        <v>355</v>
      </c>
      <c r="U18" s="430" t="s">
        <v>356</v>
      </c>
      <c r="V18" s="436">
        <v>80</v>
      </c>
      <c r="W18" s="495" t="str">
        <f t="shared" si="6"/>
        <v/>
      </c>
      <c r="X18" s="489" t="str">
        <f t="shared" si="7"/>
        <v/>
      </c>
      <c r="Y18" s="489" t="str">
        <f t="shared" si="8"/>
        <v/>
      </c>
      <c r="Z18" s="489" t="str">
        <f t="shared" si="9"/>
        <v/>
      </c>
      <c r="AA18" s="489" t="str">
        <f t="shared" si="10"/>
        <v/>
      </c>
      <c r="AB18" s="489" t="str">
        <f t="shared" si="11"/>
        <v/>
      </c>
      <c r="AC18" s="489" t="str">
        <f t="shared" si="12"/>
        <v/>
      </c>
      <c r="AD18" s="489" t="str">
        <f t="shared" si="13"/>
        <v/>
      </c>
      <c r="AE18" s="489" t="str">
        <f t="shared" si="14"/>
        <v/>
      </c>
      <c r="AF18" s="489" t="str">
        <f t="shared" si="15"/>
        <v/>
      </c>
      <c r="AG18" s="489" t="str">
        <f t="shared" si="16"/>
        <v/>
      </c>
      <c r="AH18" s="489" t="str">
        <f t="shared" si="17"/>
        <v/>
      </c>
      <c r="AI18" s="489">
        <f t="shared" si="18"/>
        <v>1.2499999999999956E-2</v>
      </c>
      <c r="AJ18" s="489" t="str">
        <f t="shared" si="19"/>
        <v/>
      </c>
      <c r="AK18" s="489" t="str">
        <f t="shared" si="20"/>
        <v/>
      </c>
      <c r="AL18" s="489" t="str">
        <f t="shared" si="21"/>
        <v/>
      </c>
      <c r="AM18" s="489" t="str">
        <f t="shared" si="22"/>
        <v/>
      </c>
      <c r="AN18" s="490">
        <f t="shared" si="23"/>
        <v>3.7500000000000089E-2</v>
      </c>
    </row>
    <row r="19" spans="3:51">
      <c r="C19" s="211"/>
      <c r="D19" s="493"/>
      <c r="F19" s="489"/>
      <c r="G19" s="489"/>
      <c r="H19" s="489"/>
      <c r="I19" s="489"/>
      <c r="J19" s="489"/>
      <c r="K19" s="489"/>
      <c r="L19" s="489"/>
      <c r="M19" s="489"/>
      <c r="N19" s="39"/>
      <c r="O19" s="489"/>
      <c r="P19" s="489"/>
      <c r="Q19" s="489"/>
      <c r="R19" s="489"/>
      <c r="S19" s="489"/>
      <c r="T19" s="593"/>
      <c r="U19" s="430" t="s">
        <v>359</v>
      </c>
      <c r="V19" s="436">
        <v>30</v>
      </c>
      <c r="W19" s="495" t="str">
        <f t="shared" si="6"/>
        <v/>
      </c>
      <c r="X19" s="489" t="str">
        <f t="shared" si="7"/>
        <v/>
      </c>
      <c r="Y19" s="489" t="str">
        <f t="shared" si="8"/>
        <v/>
      </c>
      <c r="Z19" s="489" t="str">
        <f t="shared" si="9"/>
        <v/>
      </c>
      <c r="AA19" s="489" t="str">
        <f t="shared" si="10"/>
        <v/>
      </c>
      <c r="AB19" s="489" t="str">
        <f t="shared" si="11"/>
        <v/>
      </c>
      <c r="AC19" s="489" t="str">
        <f t="shared" si="12"/>
        <v/>
      </c>
      <c r="AD19" s="489" t="str">
        <f t="shared" si="13"/>
        <v/>
      </c>
      <c r="AE19" s="489" t="str">
        <f t="shared" si="14"/>
        <v/>
      </c>
      <c r="AF19" s="489" t="str">
        <f t="shared" si="15"/>
        <v/>
      </c>
      <c r="AG19" s="489" t="str">
        <f t="shared" si="16"/>
        <v/>
      </c>
      <c r="AH19" s="489" t="str">
        <f t="shared" si="17"/>
        <v/>
      </c>
      <c r="AI19" s="489" t="str">
        <f t="shared" si="18"/>
        <v/>
      </c>
      <c r="AJ19" s="489" t="str">
        <f t="shared" si="19"/>
        <v/>
      </c>
      <c r="AK19" s="489" t="str">
        <f t="shared" si="20"/>
        <v/>
      </c>
      <c r="AL19" s="489" t="str">
        <f t="shared" si="21"/>
        <v/>
      </c>
      <c r="AM19" s="489" t="str">
        <f t="shared" si="22"/>
        <v/>
      </c>
      <c r="AN19" s="490" t="str">
        <f t="shared" si="23"/>
        <v/>
      </c>
    </row>
    <row r="20" spans="3:51">
      <c r="C20" s="211"/>
      <c r="D20" s="493"/>
      <c r="F20" s="489"/>
      <c r="G20" s="489"/>
      <c r="H20" s="489"/>
      <c r="I20" s="489"/>
      <c r="J20" s="489"/>
      <c r="K20" s="489"/>
      <c r="L20" s="489"/>
      <c r="M20" s="489"/>
      <c r="N20" s="39"/>
      <c r="O20" s="489"/>
      <c r="P20" s="489"/>
      <c r="Q20" s="489"/>
      <c r="R20" s="489"/>
      <c r="S20" s="489"/>
      <c r="T20" s="593"/>
      <c r="U20" s="430" t="s">
        <v>363</v>
      </c>
      <c r="V20" s="421">
        <v>15</v>
      </c>
      <c r="W20" s="496" t="str">
        <f t="shared" ref="W20:AH20" si="25">IFERROR(AD87/$V20-1,"")</f>
        <v/>
      </c>
      <c r="X20" s="491" t="str">
        <f t="shared" si="25"/>
        <v/>
      </c>
      <c r="Y20" s="491" t="str">
        <f t="shared" si="25"/>
        <v/>
      </c>
      <c r="Z20" s="491" t="str">
        <f t="shared" si="25"/>
        <v/>
      </c>
      <c r="AA20" s="491" t="str">
        <f t="shared" si="25"/>
        <v/>
      </c>
      <c r="AB20" s="491" t="str">
        <f t="shared" si="25"/>
        <v/>
      </c>
      <c r="AC20" s="491" t="str">
        <f t="shared" si="25"/>
        <v/>
      </c>
      <c r="AD20" s="491" t="str">
        <f t="shared" si="25"/>
        <v/>
      </c>
      <c r="AE20" s="491" t="str">
        <f t="shared" si="25"/>
        <v/>
      </c>
      <c r="AF20" s="491" t="str">
        <f t="shared" si="25"/>
        <v/>
      </c>
      <c r="AG20" s="491" t="str">
        <f t="shared" si="25"/>
        <v/>
      </c>
      <c r="AH20" s="491" t="str">
        <f t="shared" si="25"/>
        <v/>
      </c>
      <c r="AI20" s="497"/>
      <c r="AJ20" s="497"/>
      <c r="AK20" s="497"/>
      <c r="AL20" s="497"/>
      <c r="AM20" s="497"/>
      <c r="AN20" s="498"/>
    </row>
    <row r="21" spans="3:51">
      <c r="C21" s="211"/>
      <c r="D21" s="493"/>
      <c r="F21" s="489"/>
      <c r="G21" s="489"/>
      <c r="H21" s="489"/>
      <c r="I21" s="489"/>
      <c r="J21" s="489"/>
      <c r="K21" s="489"/>
      <c r="L21" s="489"/>
      <c r="M21" s="489"/>
      <c r="N21" s="39"/>
      <c r="O21" s="489"/>
      <c r="P21" s="489"/>
      <c r="Q21" s="489"/>
      <c r="R21" s="489"/>
      <c r="S21" s="489"/>
      <c r="T21" s="489"/>
      <c r="U21" s="489"/>
    </row>
    <row r="23" spans="3:51">
      <c r="AW23" s="39" t="s">
        <v>391</v>
      </c>
      <c r="AX23" s="39" t="s">
        <v>392</v>
      </c>
      <c r="AY23" s="3" t="s">
        <v>393</v>
      </c>
    </row>
    <row r="24" spans="3:51">
      <c r="C24" s="539" t="s">
        <v>389</v>
      </c>
      <c r="D24" s="499"/>
      <c r="E24" s="486"/>
      <c r="F24" s="500" t="str">
        <f>IFERROR(AVERAGE(F6:F6),"")</f>
        <v/>
      </c>
      <c r="G24" s="500">
        <f t="shared" ref="G24:M24" si="26">IFERROR(AVERAGE(G6:G6),"")</f>
        <v>-0.53649999999999998</v>
      </c>
      <c r="H24" s="500">
        <f t="shared" si="26"/>
        <v>-0.20538133116883106</v>
      </c>
      <c r="I24" s="500" t="str">
        <f t="shared" si="26"/>
        <v/>
      </c>
      <c r="J24" s="500" t="str">
        <f t="shared" si="26"/>
        <v/>
      </c>
      <c r="K24" s="500" t="str">
        <f t="shared" si="26"/>
        <v/>
      </c>
      <c r="L24" s="500">
        <f t="shared" si="26"/>
        <v>6.6857142857142948E-2</v>
      </c>
      <c r="M24" s="500">
        <f t="shared" si="26"/>
        <v>0.32253937007874001</v>
      </c>
      <c r="N24" s="501"/>
      <c r="O24" s="500" t="str">
        <f t="shared" ref="O24:S24" si="27">IFERROR(AVERAGE(O6:O6),"")</f>
        <v/>
      </c>
      <c r="P24" s="500">
        <f t="shared" si="27"/>
        <v>3.8071428571428756E-2</v>
      </c>
      <c r="Q24" s="500">
        <f t="shared" si="27"/>
        <v>0.22832841520569347</v>
      </c>
      <c r="R24" s="500">
        <f t="shared" si="27"/>
        <v>0.27771428571428558</v>
      </c>
      <c r="S24" s="500" t="str">
        <f t="shared" si="27"/>
        <v/>
      </c>
      <c r="T24" s="501"/>
      <c r="U24" s="501"/>
      <c r="V24" s="501"/>
      <c r="W24" s="500" t="str">
        <f>IFERROR(AVERAGE(W6:W6),"")</f>
        <v/>
      </c>
      <c r="X24" s="500">
        <f t="shared" ref="X24:AN24" si="28">IFERROR(AVERAGE(X6:X6),"")</f>
        <v>6.282105968736551E-2</v>
      </c>
      <c r="Y24" s="500">
        <f t="shared" si="28"/>
        <v>9.86669002411944E-2</v>
      </c>
      <c r="Z24" s="500">
        <f t="shared" si="28"/>
        <v>0.24521428571428583</v>
      </c>
      <c r="AA24" s="500" t="str">
        <f t="shared" si="28"/>
        <v/>
      </c>
      <c r="AB24" s="500" t="str">
        <f t="shared" si="28"/>
        <v/>
      </c>
      <c r="AC24" s="500" t="str">
        <f t="shared" si="28"/>
        <v/>
      </c>
      <c r="AD24" s="500" t="str">
        <f t="shared" si="28"/>
        <v/>
      </c>
      <c r="AE24" s="500" t="str">
        <f t="shared" si="28"/>
        <v/>
      </c>
      <c r="AF24" s="500" t="str">
        <f t="shared" si="28"/>
        <v/>
      </c>
      <c r="AG24" s="500" t="str">
        <f t="shared" si="28"/>
        <v/>
      </c>
      <c r="AH24" s="500" t="str">
        <f t="shared" si="28"/>
        <v/>
      </c>
      <c r="AI24" s="500" t="str">
        <f t="shared" si="28"/>
        <v/>
      </c>
      <c r="AJ24" s="500" t="str">
        <f t="shared" si="28"/>
        <v/>
      </c>
      <c r="AK24" s="500" t="str">
        <f t="shared" si="28"/>
        <v/>
      </c>
      <c r="AL24" s="500" t="str">
        <f t="shared" si="28"/>
        <v/>
      </c>
      <c r="AM24" s="500" t="str">
        <f t="shared" si="28"/>
        <v/>
      </c>
      <c r="AN24" s="500" t="str">
        <f t="shared" si="28"/>
        <v/>
      </c>
      <c r="AO24" s="501"/>
      <c r="AP24" s="501"/>
      <c r="AQ24" s="499"/>
      <c r="AR24" s="500" t="str">
        <f t="shared" ref="AR24" si="29">IFERROR(AVERAGE(AR6:AR6),"")</f>
        <v/>
      </c>
      <c r="AS24" s="500" t="str">
        <f t="shared" ref="AS24:AU24" si="30">IFERROR(AVERAGE(AS6:AS6),"")</f>
        <v/>
      </c>
      <c r="AT24" s="500" t="str">
        <f t="shared" si="30"/>
        <v/>
      </c>
      <c r="AU24" s="503" t="str">
        <f t="shared" si="30"/>
        <v/>
      </c>
      <c r="AW24" s="513">
        <f>(1+AVERAGE(F24:AU24))^(1/(23-15))-1</f>
        <v>7.2903833164084109E-3</v>
      </c>
      <c r="AX24" s="509">
        <f>AY24/SUM($AY$24:$AY$27)</f>
        <v>1.2732944820066655E-4</v>
      </c>
      <c r="AY24" s="506">
        <f>SUM('2.1.1. Ingresos Serv.'!C23:K23)</f>
        <v>14083.377436511091</v>
      </c>
    </row>
    <row r="25" spans="3:51">
      <c r="C25" s="540" t="s">
        <v>13</v>
      </c>
      <c r="F25" s="232">
        <f>IFERROR(AVERAGE(F7:F10),"")</f>
        <v>0.903915625</v>
      </c>
      <c r="G25" s="232">
        <f t="shared" ref="G25:M25" si="31">IFERROR(AVERAGE(G7:G10),"")</f>
        <v>0.73637818831259982</v>
      </c>
      <c r="H25" s="232">
        <f t="shared" si="31"/>
        <v>0.83298578556159231</v>
      </c>
      <c r="I25" s="232">
        <f t="shared" si="31"/>
        <v>0.90281606985858154</v>
      </c>
      <c r="J25" s="232">
        <f t="shared" si="31"/>
        <v>0.70674999999999999</v>
      </c>
      <c r="K25" s="232">
        <f t="shared" si="31"/>
        <v>0.60717935741849671</v>
      </c>
      <c r="L25" s="232">
        <f t="shared" si="31"/>
        <v>0.65604375000000004</v>
      </c>
      <c r="M25" s="232">
        <f t="shared" si="31"/>
        <v>0.54008289460624004</v>
      </c>
      <c r="O25" s="232">
        <f t="shared" ref="O25:S25" si="32">IFERROR(AVERAGE(O7:O10),"")</f>
        <v>0.4671358655649302</v>
      </c>
      <c r="P25" s="232">
        <f t="shared" si="32"/>
        <v>1.176965625</v>
      </c>
      <c r="Q25" s="232">
        <f t="shared" si="32"/>
        <v>0.60533849425344277</v>
      </c>
      <c r="R25" s="232">
        <f t="shared" si="32"/>
        <v>1.0706950158775304</v>
      </c>
      <c r="S25" s="232">
        <f t="shared" si="32"/>
        <v>0.83019086223151928</v>
      </c>
      <c r="W25" s="232">
        <f>IFERROR(AVERAGE(W7:W12),"")</f>
        <v>0.34291916666666677</v>
      </c>
      <c r="X25" s="232">
        <f t="shared" ref="X25:AN25" si="33">IFERROR(AVERAGE(X7:X12),"")</f>
        <v>0.4175510908600229</v>
      </c>
      <c r="Y25" s="232">
        <f t="shared" si="33"/>
        <v>0.47817574662986839</v>
      </c>
      <c r="Z25" s="232">
        <f t="shared" si="33"/>
        <v>0.58278277777777787</v>
      </c>
      <c r="AA25" s="232">
        <f t="shared" si="33"/>
        <v>0.78755570157072108</v>
      </c>
      <c r="AB25" s="232">
        <f t="shared" si="33"/>
        <v>0.56358702166696761</v>
      </c>
      <c r="AC25" s="232">
        <f t="shared" si="33"/>
        <v>0.63550647406305516</v>
      </c>
      <c r="AD25" s="232">
        <f t="shared" si="33"/>
        <v>0.664396875</v>
      </c>
      <c r="AE25" s="232">
        <f t="shared" si="33"/>
        <v>1.4137872638040854</v>
      </c>
      <c r="AF25" s="232">
        <f t="shared" si="33"/>
        <v>1.3771080555555555</v>
      </c>
      <c r="AG25" s="232">
        <f t="shared" si="33"/>
        <v>1.2608913888888889</v>
      </c>
      <c r="AH25" s="232">
        <f t="shared" si="33"/>
        <v>1.3905188888888889</v>
      </c>
      <c r="AI25" s="232">
        <f t="shared" si="33"/>
        <v>1.3553622222222219</v>
      </c>
      <c r="AJ25" s="232">
        <f t="shared" si="33"/>
        <v>1.4913536552696272</v>
      </c>
      <c r="AK25" s="232">
        <f t="shared" si="33"/>
        <v>0.73957286731034233</v>
      </c>
      <c r="AL25" s="232">
        <f t="shared" si="33"/>
        <v>1.0818769328848472</v>
      </c>
      <c r="AM25" s="232">
        <f t="shared" si="33"/>
        <v>1.0934874999999999</v>
      </c>
      <c r="AN25" s="232">
        <f t="shared" si="33"/>
        <v>1.43245625</v>
      </c>
      <c r="AR25" s="232">
        <f>IFERROR(AVERAGE(AR7),"")</f>
        <v>-0.32467500000000005</v>
      </c>
      <c r="AS25" s="232">
        <f t="shared" ref="AS25:AU25" si="34">IFERROR(AVERAGE(AS7),"")</f>
        <v>-0.37922500000000003</v>
      </c>
      <c r="AT25" s="232">
        <f t="shared" si="34"/>
        <v>-0.34194999999999998</v>
      </c>
      <c r="AU25" s="504">
        <f t="shared" si="34"/>
        <v>-0.31825000000000003</v>
      </c>
      <c r="AW25" s="514">
        <f>(1+AVERAGE(F25:AU25))^(1/(23-15))-1</f>
        <v>7.1427313351174915E-2</v>
      </c>
      <c r="AX25" s="510">
        <f>AY25/SUM($AY$24:$AY$27)</f>
        <v>0.66933099211879765</v>
      </c>
      <c r="AY25" s="507">
        <f>SUM('2.1.1. Ingresos Serv.'!C20:K20)</f>
        <v>74031900.123432025</v>
      </c>
    </row>
    <row r="26" spans="3:51">
      <c r="C26" s="540" t="s">
        <v>14</v>
      </c>
      <c r="F26" s="232">
        <f>IFERROR(AVERAGE(F11:F15),"")</f>
        <v>3.5461538461538544E-2</v>
      </c>
      <c r="G26" s="232">
        <f t="shared" ref="G26:M26" si="35">IFERROR(AVERAGE(G11:G15),"")</f>
        <v>0.40389640809962524</v>
      </c>
      <c r="H26" s="232">
        <f t="shared" si="35"/>
        <v>0.78145387957501278</v>
      </c>
      <c r="I26" s="232">
        <f t="shared" si="35"/>
        <v>0.13836725543790973</v>
      </c>
      <c r="J26" s="232">
        <f t="shared" si="35"/>
        <v>0.51665634615384604</v>
      </c>
      <c r="K26" s="232">
        <f t="shared" si="35"/>
        <v>0.39073704307947604</v>
      </c>
      <c r="L26" s="232">
        <f t="shared" si="35"/>
        <v>0.37904205128205137</v>
      </c>
      <c r="M26" s="232">
        <f t="shared" si="35"/>
        <v>0.38253717548721217</v>
      </c>
      <c r="O26" s="232">
        <f t="shared" ref="O26:S26" si="36">IFERROR(AVERAGE(O11:O15),"")</f>
        <v>0.34903623368734282</v>
      </c>
      <c r="P26" s="232">
        <f t="shared" si="36"/>
        <v>5.7476923076922315E-3</v>
      </c>
      <c r="Q26" s="232">
        <f t="shared" si="36"/>
        <v>2.5260925156782649E-2</v>
      </c>
      <c r="R26" s="232">
        <f t="shared" si="36"/>
        <v>0.64355734201487769</v>
      </c>
      <c r="S26" s="232">
        <f t="shared" si="36"/>
        <v>0.44555588648086264</v>
      </c>
      <c r="W26" s="232">
        <f>IFERROR(AVERAGE(W13:W17),"")</f>
        <v>0.64686153846153838</v>
      </c>
      <c r="X26" s="232">
        <f t="shared" ref="X26:AN26" si="37">IFERROR(AVERAGE(X13:X17),"")</f>
        <v>1.1604413723231937</v>
      </c>
      <c r="Y26" s="232">
        <f t="shared" si="37"/>
        <v>0.52530130814931209</v>
      </c>
      <c r="Z26" s="232">
        <f t="shared" si="37"/>
        <v>2.9683333333333284E-2</v>
      </c>
      <c r="AA26" s="232">
        <f t="shared" si="37"/>
        <v>0.58406746445622604</v>
      </c>
      <c r="AB26" s="232">
        <f t="shared" si="37"/>
        <v>0.42980075458434697</v>
      </c>
      <c r="AC26" s="232">
        <f t="shared" si="37"/>
        <v>0.35538051425008166</v>
      </c>
      <c r="AD26" s="232">
        <f t="shared" si="37"/>
        <v>0.19833384615384608</v>
      </c>
      <c r="AE26" s="232">
        <f t="shared" si="37"/>
        <v>0.20078447508655362</v>
      </c>
      <c r="AF26" s="232">
        <f t="shared" si="37"/>
        <v>0.41463692307692301</v>
      </c>
      <c r="AG26" s="232">
        <f t="shared" si="37"/>
        <v>0.57448615384615387</v>
      </c>
      <c r="AH26" s="232">
        <f t="shared" si="37"/>
        <v>0.41645384615384606</v>
      </c>
      <c r="AI26" s="232">
        <f t="shared" si="37"/>
        <v>0.15130256410256404</v>
      </c>
      <c r="AJ26" s="232">
        <f t="shared" si="37"/>
        <v>0.25313445192008421</v>
      </c>
      <c r="AK26" s="232">
        <f t="shared" si="37"/>
        <v>9.3374358974359084E-2</v>
      </c>
      <c r="AL26" s="232">
        <f t="shared" si="37"/>
        <v>0.16014002581085929</v>
      </c>
      <c r="AM26" s="232">
        <f t="shared" si="37"/>
        <v>0.61660115814027672</v>
      </c>
      <c r="AN26" s="232">
        <f t="shared" si="37"/>
        <v>0.7778779487179488</v>
      </c>
      <c r="AR26" s="232">
        <f>IFERROR(AVERAGE(AR13),"")</f>
        <v>-0.42333333333333334</v>
      </c>
      <c r="AS26" s="232">
        <f t="shared" ref="AS26:AU26" si="38">IFERROR(AVERAGE(AS13),"")</f>
        <v>-0.46466666666666667</v>
      </c>
      <c r="AT26" s="232">
        <f t="shared" si="38"/>
        <v>-0.43613333333333337</v>
      </c>
      <c r="AU26" s="504">
        <f t="shared" si="38"/>
        <v>-0.45699999999999996</v>
      </c>
      <c r="AW26" s="514">
        <f>(1+AVERAGE(F26:AU26))^(1/(23-15))-1</f>
        <v>3.2784158342873626E-2</v>
      </c>
      <c r="AX26" s="510">
        <f>AY26/SUM($AY$24:$AY$27)</f>
        <v>0.32145654016187236</v>
      </c>
      <c r="AY26" s="507">
        <f>SUM('2.1.1. Ingresos Serv.'!C21:K21)</f>
        <v>35554962.724726044</v>
      </c>
    </row>
    <row r="27" spans="3:51">
      <c r="C27" s="541" t="s">
        <v>355</v>
      </c>
      <c r="D27" s="80"/>
      <c r="E27" s="334"/>
      <c r="F27" s="502" t="str">
        <f>IFERROR(AVERAGE(F16:F18),"")</f>
        <v/>
      </c>
      <c r="G27" s="502">
        <f t="shared" ref="G27:M27" si="39">IFERROR(AVERAGE(G16:G18),"")</f>
        <v>2.3428842805129024E-2</v>
      </c>
      <c r="H27" s="502" t="str">
        <f t="shared" si="39"/>
        <v/>
      </c>
      <c r="I27" s="502" t="str">
        <f t="shared" si="39"/>
        <v/>
      </c>
      <c r="J27" s="502" t="str">
        <f t="shared" si="39"/>
        <v/>
      </c>
      <c r="K27" s="502" t="str">
        <f t="shared" si="39"/>
        <v/>
      </c>
      <c r="L27" s="502" t="str">
        <f t="shared" si="39"/>
        <v/>
      </c>
      <c r="M27" s="502" t="str">
        <f t="shared" si="39"/>
        <v/>
      </c>
      <c r="N27" s="497"/>
      <c r="O27" s="502" t="str">
        <f t="shared" ref="O27:S27" si="40">IFERROR(AVERAGE(O16:O18),"")</f>
        <v/>
      </c>
      <c r="P27" s="502" t="str">
        <f t="shared" si="40"/>
        <v/>
      </c>
      <c r="Q27" s="502" t="str">
        <f t="shared" si="40"/>
        <v/>
      </c>
      <c r="R27" s="502" t="str">
        <f t="shared" si="40"/>
        <v/>
      </c>
      <c r="S27" s="502" t="str">
        <f t="shared" si="40"/>
        <v/>
      </c>
      <c r="T27" s="497"/>
      <c r="U27" s="497"/>
      <c r="V27" s="497"/>
      <c r="W27" s="502" t="str">
        <f>IFERROR(AVERAGE(W18:W20),"")</f>
        <v/>
      </c>
      <c r="X27" s="502" t="str">
        <f t="shared" ref="X27:AN27" si="41">IFERROR(AVERAGE(X18:X20),"")</f>
        <v/>
      </c>
      <c r="Y27" s="502" t="str">
        <f t="shared" si="41"/>
        <v/>
      </c>
      <c r="Z27" s="502" t="str">
        <f t="shared" si="41"/>
        <v/>
      </c>
      <c r="AA27" s="502" t="str">
        <f t="shared" si="41"/>
        <v/>
      </c>
      <c r="AB27" s="502" t="str">
        <f t="shared" si="41"/>
        <v/>
      </c>
      <c r="AC27" s="502" t="str">
        <f t="shared" si="41"/>
        <v/>
      </c>
      <c r="AD27" s="502" t="str">
        <f t="shared" si="41"/>
        <v/>
      </c>
      <c r="AE27" s="502" t="str">
        <f t="shared" si="41"/>
        <v/>
      </c>
      <c r="AF27" s="502" t="str">
        <f t="shared" si="41"/>
        <v/>
      </c>
      <c r="AG27" s="502" t="str">
        <f t="shared" si="41"/>
        <v/>
      </c>
      <c r="AH27" s="502" t="str">
        <f t="shared" si="41"/>
        <v/>
      </c>
      <c r="AI27" s="502">
        <f t="shared" si="41"/>
        <v>1.2499999999999956E-2</v>
      </c>
      <c r="AJ27" s="502" t="str">
        <f t="shared" si="41"/>
        <v/>
      </c>
      <c r="AK27" s="502" t="str">
        <f t="shared" si="41"/>
        <v/>
      </c>
      <c r="AL27" s="502" t="str">
        <f t="shared" si="41"/>
        <v/>
      </c>
      <c r="AM27" s="502" t="str">
        <f t="shared" si="41"/>
        <v/>
      </c>
      <c r="AN27" s="502">
        <f t="shared" si="41"/>
        <v>3.7500000000000089E-2</v>
      </c>
      <c r="AO27" s="497"/>
      <c r="AP27" s="497"/>
      <c r="AQ27" s="80"/>
      <c r="AR27" s="502">
        <f>IFERROR(AVERAGE(AR13:AR15),"")</f>
        <v>-0.59820512820512817</v>
      </c>
      <c r="AS27" s="502">
        <f t="shared" ref="AS27:AU27" si="42">IFERROR(AVERAGE(AS13:AS15),"")</f>
        <v>-0.67233333333333334</v>
      </c>
      <c r="AT27" s="502">
        <f t="shared" si="42"/>
        <v>-0.65791282051282052</v>
      </c>
      <c r="AU27" s="505">
        <f t="shared" si="42"/>
        <v>-0.66542307692307689</v>
      </c>
      <c r="AW27" s="515">
        <f>(1+AVERAGE(F27:AU27))^(1/(23-15))-1</f>
        <v>-5.4270147735424268E-2</v>
      </c>
      <c r="AX27" s="511">
        <f>AY27/SUM($AY$24:$AY$27)</f>
        <v>9.0851382711293512E-3</v>
      </c>
      <c r="AY27" s="508">
        <f>SUM('2.1.1. Ingresos Serv.'!C22:K22)</f>
        <v>1004869.1260607904</v>
      </c>
    </row>
    <row r="30" spans="3:51">
      <c r="E30" s="3"/>
    </row>
    <row r="33" spans="3:52">
      <c r="C33" s="542" t="s">
        <v>369</v>
      </c>
      <c r="D33" s="499"/>
      <c r="E33" s="428">
        <v>20</v>
      </c>
      <c r="F33" s="516">
        <f>IFERROR(-(G92*1440/$E33-1),"")</f>
        <v>0.7</v>
      </c>
      <c r="G33" s="516">
        <f t="shared" ref="G33:AU33" si="43">IFERROR(-(H92*1440/$E33-1),"")</f>
        <v>0.6</v>
      </c>
      <c r="H33" s="516">
        <f t="shared" si="43"/>
        <v>0.65</v>
      </c>
      <c r="I33" s="516">
        <f t="shared" si="43"/>
        <v>0.7</v>
      </c>
      <c r="J33" s="516">
        <f t="shared" si="43"/>
        <v>0.7</v>
      </c>
      <c r="K33" s="516">
        <f t="shared" si="43"/>
        <v>0.75</v>
      </c>
      <c r="L33" s="516">
        <f t="shared" si="43"/>
        <v>0.75</v>
      </c>
      <c r="M33" s="516">
        <f t="shared" si="43"/>
        <v>0.7</v>
      </c>
      <c r="N33" s="516" t="str">
        <f t="shared" si="43"/>
        <v/>
      </c>
      <c r="O33" s="516" t="str">
        <f t="shared" si="43"/>
        <v/>
      </c>
      <c r="P33" s="516">
        <f t="shared" si="43"/>
        <v>1</v>
      </c>
      <c r="Q33" s="516" t="str">
        <f t="shared" si="43"/>
        <v/>
      </c>
      <c r="R33" s="516" t="str">
        <f t="shared" si="43"/>
        <v/>
      </c>
      <c r="S33" s="516">
        <f t="shared" si="43"/>
        <v>0.6</v>
      </c>
      <c r="T33" s="516">
        <f t="shared" si="43"/>
        <v>0.6</v>
      </c>
      <c r="U33" s="516">
        <f t="shared" si="43"/>
        <v>0.55000000000000004</v>
      </c>
      <c r="V33" s="516">
        <f t="shared" si="43"/>
        <v>0.65</v>
      </c>
      <c r="W33" s="516">
        <f t="shared" si="43"/>
        <v>0.19999999999999996</v>
      </c>
      <c r="X33" s="516" t="str">
        <f t="shared" si="43"/>
        <v/>
      </c>
      <c r="Y33" s="516" t="str">
        <f t="shared" si="43"/>
        <v/>
      </c>
      <c r="Z33" s="516">
        <f t="shared" si="43"/>
        <v>1</v>
      </c>
      <c r="AA33" s="516" t="str">
        <f t="shared" si="43"/>
        <v/>
      </c>
      <c r="AB33" s="516" t="str">
        <f t="shared" si="43"/>
        <v/>
      </c>
      <c r="AC33" s="516">
        <f t="shared" si="43"/>
        <v>0.6</v>
      </c>
      <c r="AD33" s="516">
        <f t="shared" si="43"/>
        <v>0.6</v>
      </c>
      <c r="AE33" s="516">
        <f t="shared" si="43"/>
        <v>0.34999999999999987</v>
      </c>
      <c r="AF33" s="516">
        <f t="shared" si="43"/>
        <v>0.34999999999999987</v>
      </c>
      <c r="AG33" s="516">
        <f t="shared" si="43"/>
        <v>0.19999999999999996</v>
      </c>
      <c r="AH33" s="516">
        <f t="shared" si="43"/>
        <v>0.25</v>
      </c>
      <c r="AI33" s="516">
        <f t="shared" si="43"/>
        <v>0.19999999999999996</v>
      </c>
      <c r="AJ33" s="516">
        <f t="shared" si="43"/>
        <v>5.0000000000000044E-2</v>
      </c>
      <c r="AK33" s="516">
        <f t="shared" si="43"/>
        <v>0.25</v>
      </c>
      <c r="AL33" s="516">
        <f t="shared" si="43"/>
        <v>0.34999999999999987</v>
      </c>
      <c r="AM33" s="516">
        <f t="shared" si="43"/>
        <v>0.4</v>
      </c>
      <c r="AN33" s="516" t="str">
        <f t="shared" si="43"/>
        <v/>
      </c>
      <c r="AO33" s="516">
        <f t="shared" si="43"/>
        <v>0.25</v>
      </c>
      <c r="AP33" s="516">
        <f t="shared" si="43"/>
        <v>-4.9999999999999822E-2</v>
      </c>
      <c r="AQ33" s="516">
        <f t="shared" si="43"/>
        <v>-0.7</v>
      </c>
      <c r="AR33" s="516">
        <f t="shared" si="43"/>
        <v>-0.30000000000000027</v>
      </c>
      <c r="AS33" s="516">
        <f t="shared" si="43"/>
        <v>-2.4500000000000002</v>
      </c>
      <c r="AT33" s="516">
        <f t="shared" si="43"/>
        <v>-0.5</v>
      </c>
      <c r="AU33" s="517" t="str">
        <f t="shared" si="43"/>
        <v/>
      </c>
      <c r="AW33" s="513">
        <f>(1+AVERAGE(F33:AU33))^(1/(23-15))-1</f>
        <v>3.4576034646094156E-2</v>
      </c>
    </row>
    <row r="34" spans="3:52">
      <c r="C34" s="543" t="s">
        <v>378</v>
      </c>
      <c r="E34" s="434">
        <v>20</v>
      </c>
      <c r="F34" s="518">
        <f>IFERROR(-(G94*1440/$E34-1),"")</f>
        <v>0.30000000000000004</v>
      </c>
      <c r="G34" s="518">
        <f t="shared" ref="G34:AU34" si="44">IFERROR(-(H94*1440/$E34-1),"")</f>
        <v>0.6</v>
      </c>
      <c r="H34" s="518">
        <f t="shared" si="44"/>
        <v>9.9999999999999978E-2</v>
      </c>
      <c r="I34" s="518">
        <f t="shared" si="44"/>
        <v>0.6</v>
      </c>
      <c r="J34" s="518">
        <f t="shared" si="44"/>
        <v>0.15000000000000002</v>
      </c>
      <c r="K34" s="518">
        <f t="shared" si="44"/>
        <v>0.15000000000000002</v>
      </c>
      <c r="L34" s="518">
        <f t="shared" si="44"/>
        <v>0.5</v>
      </c>
      <c r="M34" s="518">
        <f t="shared" si="44"/>
        <v>0.34999999999999987</v>
      </c>
      <c r="N34" s="518" t="str">
        <f t="shared" si="44"/>
        <v/>
      </c>
      <c r="O34" s="518" t="str">
        <f t="shared" si="44"/>
        <v/>
      </c>
      <c r="P34" s="518">
        <f t="shared" si="44"/>
        <v>1</v>
      </c>
      <c r="Q34" s="518" t="str">
        <f t="shared" si="44"/>
        <v/>
      </c>
      <c r="R34" s="518" t="str">
        <f t="shared" si="44"/>
        <v/>
      </c>
      <c r="S34" s="518">
        <f t="shared" si="44"/>
        <v>0.44999999999999996</v>
      </c>
      <c r="T34" s="518">
        <f t="shared" si="44"/>
        <v>0.44999999999999996</v>
      </c>
      <c r="U34" s="518">
        <f t="shared" si="44"/>
        <v>0.44999999999999996</v>
      </c>
      <c r="V34" s="518">
        <f t="shared" si="44"/>
        <v>0.34999999999999987</v>
      </c>
      <c r="W34" s="518">
        <f t="shared" si="44"/>
        <v>0.4</v>
      </c>
      <c r="X34" s="518" t="str">
        <f t="shared" si="44"/>
        <v/>
      </c>
      <c r="Y34" s="518" t="str">
        <f t="shared" si="44"/>
        <v/>
      </c>
      <c r="Z34" s="518">
        <f t="shared" si="44"/>
        <v>1</v>
      </c>
      <c r="AA34" s="518" t="str">
        <f t="shared" si="44"/>
        <v/>
      </c>
      <c r="AB34" s="518" t="str">
        <f t="shared" si="44"/>
        <v/>
      </c>
      <c r="AC34" s="518">
        <f t="shared" si="44"/>
        <v>0.44999999999999996</v>
      </c>
      <c r="AD34" s="518">
        <f t="shared" si="44"/>
        <v>0.4</v>
      </c>
      <c r="AE34" s="518">
        <f t="shared" si="44"/>
        <v>0.44999999999999996</v>
      </c>
      <c r="AF34" s="518">
        <f t="shared" si="44"/>
        <v>0.44999999999999996</v>
      </c>
      <c r="AG34" s="518">
        <f t="shared" si="44"/>
        <v>0.5</v>
      </c>
      <c r="AH34" s="518">
        <f t="shared" si="44"/>
        <v>0.44999999999999996</v>
      </c>
      <c r="AI34" s="518">
        <f t="shared" si="44"/>
        <v>0.44999999999999996</v>
      </c>
      <c r="AJ34" s="518">
        <f t="shared" si="44"/>
        <v>0.25</v>
      </c>
      <c r="AK34" s="518">
        <f t="shared" si="44"/>
        <v>0.44999999999999996</v>
      </c>
      <c r="AL34" s="518">
        <f t="shared" si="44"/>
        <v>0.30000000000000004</v>
      </c>
      <c r="AM34" s="518">
        <f t="shared" si="44"/>
        <v>0.4</v>
      </c>
      <c r="AN34" s="518">
        <f t="shared" si="44"/>
        <v>0.34999999999999987</v>
      </c>
      <c r="AO34" s="518">
        <f t="shared" si="44"/>
        <v>0.4</v>
      </c>
      <c r="AP34" s="518">
        <f t="shared" si="44"/>
        <v>0.30000000000000004</v>
      </c>
      <c r="AQ34" s="518">
        <f t="shared" si="44"/>
        <v>0.4</v>
      </c>
      <c r="AR34" s="518">
        <f t="shared" si="44"/>
        <v>0.34999999999999987</v>
      </c>
      <c r="AS34" s="518">
        <f t="shared" si="44"/>
        <v>0.25</v>
      </c>
      <c r="AT34" s="518">
        <f t="shared" si="44"/>
        <v>0.30000000000000004</v>
      </c>
      <c r="AU34" s="519" t="str">
        <f t="shared" si="44"/>
        <v/>
      </c>
      <c r="AW34" s="514">
        <f t="shared" ref="AW34:AW37" si="45">(1+AVERAGE(F34:AU34))^(1/(23-15))-1</f>
        <v>4.4500036316266645E-2</v>
      </c>
    </row>
    <row r="35" spans="3:52">
      <c r="C35" s="543" t="s">
        <v>381</v>
      </c>
      <c r="E35" s="434">
        <v>30</v>
      </c>
      <c r="F35" s="518">
        <f>IFERROR(-(G96*1440/$E35-1),"")</f>
        <v>0.13333333333333319</v>
      </c>
      <c r="G35" s="518">
        <f t="shared" ref="G35:AU35" si="46">IFERROR(-(H96*1440/$E35-1),"")</f>
        <v>0.16666666666666663</v>
      </c>
      <c r="H35" s="518">
        <f t="shared" si="46"/>
        <v>0.19999999999999996</v>
      </c>
      <c r="I35" s="518">
        <f t="shared" si="46"/>
        <v>3.3333333333333215E-2</v>
      </c>
      <c r="J35" s="518">
        <f t="shared" si="46"/>
        <v>-0.23333333333333339</v>
      </c>
      <c r="K35" s="518">
        <f t="shared" si="46"/>
        <v>0.44702364796006389</v>
      </c>
      <c r="L35" s="518">
        <f t="shared" si="46"/>
        <v>3.3333333333333215E-2</v>
      </c>
      <c r="M35" s="518">
        <f t="shared" si="46"/>
        <v>0.71333333333333337</v>
      </c>
      <c r="N35" s="518" t="str">
        <f t="shared" si="46"/>
        <v/>
      </c>
      <c r="O35" s="518" t="str">
        <f t="shared" si="46"/>
        <v/>
      </c>
      <c r="P35" s="518">
        <f t="shared" si="46"/>
        <v>1</v>
      </c>
      <c r="Q35" s="518" t="str">
        <f t="shared" si="46"/>
        <v/>
      </c>
      <c r="R35" s="518" t="str">
        <f t="shared" si="46"/>
        <v/>
      </c>
      <c r="S35" s="518">
        <f t="shared" si="46"/>
        <v>0.3129572697318288</v>
      </c>
      <c r="T35" s="518">
        <f t="shared" si="46"/>
        <v>0.41485756385077055</v>
      </c>
      <c r="U35" s="518">
        <f t="shared" si="46"/>
        <v>0.24666666666666659</v>
      </c>
      <c r="V35" s="518">
        <f t="shared" si="46"/>
        <v>0.38555350391542398</v>
      </c>
      <c r="W35" s="518">
        <f t="shared" si="46"/>
        <v>0.47777777777777775</v>
      </c>
      <c r="X35" s="518" t="str">
        <f t="shared" si="46"/>
        <v/>
      </c>
      <c r="Y35" s="518" t="str">
        <f t="shared" si="46"/>
        <v/>
      </c>
      <c r="Z35" s="518">
        <f t="shared" si="46"/>
        <v>1</v>
      </c>
      <c r="AA35" s="518" t="str">
        <f t="shared" si="46"/>
        <v/>
      </c>
      <c r="AB35" s="518" t="str">
        <f t="shared" si="46"/>
        <v/>
      </c>
      <c r="AC35" s="518">
        <f t="shared" si="46"/>
        <v>0.46944444444444444</v>
      </c>
      <c r="AD35" s="518">
        <f t="shared" si="46"/>
        <v>0.10777777777777786</v>
      </c>
      <c r="AE35" s="518">
        <f t="shared" si="46"/>
        <v>0.27666666666666684</v>
      </c>
      <c r="AF35" s="518">
        <f t="shared" si="46"/>
        <v>0.46666666666666667</v>
      </c>
      <c r="AG35" s="518">
        <f t="shared" si="46"/>
        <v>0.46666666666666667</v>
      </c>
      <c r="AH35" s="518">
        <f t="shared" si="46"/>
        <v>0.43333333333333335</v>
      </c>
      <c r="AI35" s="518">
        <f t="shared" si="46"/>
        <v>0.43333333333333335</v>
      </c>
      <c r="AJ35" s="518">
        <f t="shared" si="46"/>
        <v>0.5</v>
      </c>
      <c r="AK35" s="518">
        <f t="shared" si="46"/>
        <v>0.53333333333333333</v>
      </c>
      <c r="AL35" s="518">
        <f t="shared" si="46"/>
        <v>0.6333333333333333</v>
      </c>
      <c r="AM35" s="518">
        <f t="shared" si="46"/>
        <v>0.53333333333333333</v>
      </c>
      <c r="AN35" s="518">
        <f t="shared" si="46"/>
        <v>0.5</v>
      </c>
      <c r="AO35" s="518">
        <f t="shared" si="46"/>
        <v>0.5</v>
      </c>
      <c r="AP35" s="518">
        <f t="shared" si="46"/>
        <v>0.53333333333333333</v>
      </c>
      <c r="AQ35" s="518">
        <f t="shared" si="46"/>
        <v>0.46666666666666667</v>
      </c>
      <c r="AR35" s="518">
        <f t="shared" si="46"/>
        <v>0.46666666666666667</v>
      </c>
      <c r="AS35" s="518">
        <f t="shared" si="46"/>
        <v>0.5</v>
      </c>
      <c r="AT35" s="518">
        <f t="shared" si="46"/>
        <v>0.5</v>
      </c>
      <c r="AU35" s="519" t="str">
        <f t="shared" si="46"/>
        <v/>
      </c>
      <c r="AW35" s="514">
        <f t="shared" si="45"/>
        <v>4.4226256560729649E-2</v>
      </c>
    </row>
    <row r="36" spans="3:52">
      <c r="C36" s="543" t="s">
        <v>383</v>
      </c>
      <c r="E36" s="434">
        <v>20</v>
      </c>
      <c r="F36" s="518" t="str">
        <f>IFERROR(-(G98*1440/$E36-1),"")</f>
        <v/>
      </c>
      <c r="G36" s="518">
        <f t="shared" ref="G36:AU36" si="47">IFERROR(-(H98*1440/$E36-1),"")</f>
        <v>9.9999999999999978E-2</v>
      </c>
      <c r="H36" s="518">
        <f t="shared" si="47"/>
        <v>0.30000000000000004</v>
      </c>
      <c r="I36" s="518">
        <f t="shared" si="47"/>
        <v>0.30000000000000004</v>
      </c>
      <c r="J36" s="518" t="str">
        <f t="shared" si="47"/>
        <v/>
      </c>
      <c r="K36" s="518">
        <f t="shared" si="47"/>
        <v>0.48416666666666663</v>
      </c>
      <c r="L36" s="518">
        <f t="shared" si="47"/>
        <v>0.15000000000000002</v>
      </c>
      <c r="M36" s="518">
        <f t="shared" si="47"/>
        <v>0.21999999999999997</v>
      </c>
      <c r="N36" s="518" t="str">
        <f t="shared" si="47"/>
        <v/>
      </c>
      <c r="O36" s="518" t="str">
        <f t="shared" si="47"/>
        <v/>
      </c>
      <c r="P36" s="518">
        <f t="shared" si="47"/>
        <v>1</v>
      </c>
      <c r="Q36" s="518" t="str">
        <f t="shared" si="47"/>
        <v/>
      </c>
      <c r="R36" s="518" t="str">
        <f t="shared" si="47"/>
        <v/>
      </c>
      <c r="S36" s="518">
        <f t="shared" si="47"/>
        <v>0.26758620688662293</v>
      </c>
      <c r="T36" s="518">
        <f t="shared" si="47"/>
        <v>0.49228538284424106</v>
      </c>
      <c r="U36" s="518">
        <f t="shared" si="47"/>
        <v>0.52641601564131468</v>
      </c>
      <c r="V36" s="518">
        <f t="shared" si="47"/>
        <v>0.48218457943437265</v>
      </c>
      <c r="W36" s="518">
        <f t="shared" si="47"/>
        <v>0.48218457943437265</v>
      </c>
      <c r="X36" s="518" t="str">
        <f t="shared" si="47"/>
        <v/>
      </c>
      <c r="Y36" s="518" t="str">
        <f t="shared" si="47"/>
        <v/>
      </c>
      <c r="Z36" s="518">
        <f t="shared" si="47"/>
        <v>1</v>
      </c>
      <c r="AA36" s="518" t="str">
        <f t="shared" si="47"/>
        <v/>
      </c>
      <c r="AB36" s="518" t="str">
        <f t="shared" si="47"/>
        <v/>
      </c>
      <c r="AC36" s="518" t="str">
        <f t="shared" si="47"/>
        <v/>
      </c>
      <c r="AD36" s="518">
        <f t="shared" si="47"/>
        <v>0.49999999984865084</v>
      </c>
      <c r="AE36" s="518" t="str">
        <f t="shared" si="47"/>
        <v/>
      </c>
      <c r="AF36" s="518" t="str">
        <f t="shared" si="47"/>
        <v/>
      </c>
      <c r="AG36" s="518">
        <f t="shared" si="47"/>
        <v>0.5</v>
      </c>
      <c r="AH36" s="518">
        <f t="shared" si="47"/>
        <v>0.34999999999999987</v>
      </c>
      <c r="AI36" s="518">
        <f t="shared" si="47"/>
        <v>0.4</v>
      </c>
      <c r="AJ36" s="518">
        <f t="shared" si="47"/>
        <v>0.44999999999999996</v>
      </c>
      <c r="AK36" s="518">
        <f t="shared" si="47"/>
        <v>0.34999999999999987</v>
      </c>
      <c r="AL36" s="518">
        <f t="shared" si="47"/>
        <v>0.34999999999999987</v>
      </c>
      <c r="AM36" s="518">
        <f t="shared" si="47"/>
        <v>0.25</v>
      </c>
      <c r="AN36" s="518">
        <f t="shared" si="47"/>
        <v>0.44999999999999996</v>
      </c>
      <c r="AO36" s="518">
        <f t="shared" si="47"/>
        <v>0.30000000000000004</v>
      </c>
      <c r="AP36" s="518">
        <f t="shared" si="47"/>
        <v>0.4</v>
      </c>
      <c r="AQ36" s="518">
        <f t="shared" si="47"/>
        <v>0.34999999999999987</v>
      </c>
      <c r="AR36" s="518">
        <f t="shared" si="47"/>
        <v>9.9999999999999978E-2</v>
      </c>
      <c r="AS36" s="518">
        <f t="shared" si="47"/>
        <v>0.34999999999999987</v>
      </c>
      <c r="AT36" s="518">
        <f t="shared" si="47"/>
        <v>0.34999999999999987</v>
      </c>
      <c r="AU36" s="519" t="str">
        <f t="shared" si="47"/>
        <v/>
      </c>
      <c r="AW36" s="514">
        <f t="shared" si="45"/>
        <v>4.3138259896375653E-2</v>
      </c>
    </row>
    <row r="37" spans="3:52">
      <c r="C37" s="544" t="s">
        <v>386</v>
      </c>
      <c r="D37" s="80"/>
      <c r="E37" s="442">
        <v>20</v>
      </c>
      <c r="F37" s="520" t="str">
        <f>IFERROR(-(G100*1440/$E37-1),"")</f>
        <v/>
      </c>
      <c r="G37" s="520">
        <f t="shared" ref="G37:AU37" si="48">IFERROR(-(H100*1440/$E37-1),"")</f>
        <v>-0.10000000000000009</v>
      </c>
      <c r="H37" s="520">
        <f t="shared" si="48"/>
        <v>0</v>
      </c>
      <c r="I37" s="520">
        <f t="shared" si="48"/>
        <v>5.0000000000000044E-2</v>
      </c>
      <c r="J37" s="520" t="str">
        <f t="shared" si="48"/>
        <v/>
      </c>
      <c r="K37" s="520">
        <f t="shared" si="48"/>
        <v>0.52919317772144414</v>
      </c>
      <c r="L37" s="520">
        <f t="shared" si="48"/>
        <v>-0.89999999999999991</v>
      </c>
      <c r="M37" s="520">
        <f t="shared" si="48"/>
        <v>0.42416666666666658</v>
      </c>
      <c r="N37" s="520" t="str">
        <f t="shared" si="48"/>
        <v/>
      </c>
      <c r="O37" s="520" t="str">
        <f t="shared" si="48"/>
        <v/>
      </c>
      <c r="P37" s="520">
        <f t="shared" si="48"/>
        <v>1</v>
      </c>
      <c r="Q37" s="520" t="str">
        <f t="shared" si="48"/>
        <v/>
      </c>
      <c r="R37" s="520" t="str">
        <f t="shared" si="48"/>
        <v/>
      </c>
      <c r="S37" s="520">
        <f t="shared" si="48"/>
        <v>-5.6057268733799459E-2</v>
      </c>
      <c r="T37" s="520">
        <f t="shared" si="48"/>
        <v>0.36389221557195861</v>
      </c>
      <c r="U37" s="520">
        <f t="shared" si="48"/>
        <v>0.52641601564131468</v>
      </c>
      <c r="V37" s="520">
        <f t="shared" si="48"/>
        <v>-0.19999999977880867</v>
      </c>
      <c r="W37" s="520">
        <f t="shared" si="48"/>
        <v>0.50916666666666677</v>
      </c>
      <c r="X37" s="520" t="str">
        <f t="shared" si="48"/>
        <v/>
      </c>
      <c r="Y37" s="520" t="str">
        <f t="shared" si="48"/>
        <v/>
      </c>
      <c r="Z37" s="520">
        <f t="shared" si="48"/>
        <v>1</v>
      </c>
      <c r="AA37" s="520" t="str">
        <f t="shared" si="48"/>
        <v/>
      </c>
      <c r="AB37" s="520" t="str">
        <f t="shared" si="48"/>
        <v/>
      </c>
      <c r="AC37" s="520" t="str">
        <f t="shared" si="48"/>
        <v/>
      </c>
      <c r="AD37" s="520" t="str">
        <f t="shared" si="48"/>
        <v/>
      </c>
      <c r="AE37" s="520" t="str">
        <f t="shared" si="48"/>
        <v/>
      </c>
      <c r="AF37" s="520" t="str">
        <f t="shared" si="48"/>
        <v/>
      </c>
      <c r="AG37" s="520">
        <f t="shared" si="48"/>
        <v>0.55000000000000004</v>
      </c>
      <c r="AH37" s="520">
        <f t="shared" si="48"/>
        <v>0.65</v>
      </c>
      <c r="AI37" s="520">
        <f t="shared" si="48"/>
        <v>0.5</v>
      </c>
      <c r="AJ37" s="520">
        <f t="shared" si="48"/>
        <v>0.55000000000000004</v>
      </c>
      <c r="AK37" s="520">
        <f t="shared" si="48"/>
        <v>0.5</v>
      </c>
      <c r="AL37" s="520">
        <f t="shared" si="48"/>
        <v>0.44999999999999996</v>
      </c>
      <c r="AM37" s="520">
        <f t="shared" si="48"/>
        <v>0.5</v>
      </c>
      <c r="AN37" s="520">
        <f t="shared" si="48"/>
        <v>0.55000000000000004</v>
      </c>
      <c r="AO37" s="520">
        <f t="shared" si="48"/>
        <v>0.55000000000000004</v>
      </c>
      <c r="AP37" s="520">
        <f t="shared" si="48"/>
        <v>0.65</v>
      </c>
      <c r="AQ37" s="520">
        <f t="shared" si="48"/>
        <v>0.44999999999999996</v>
      </c>
      <c r="AR37" s="520">
        <f t="shared" si="48"/>
        <v>0.34999999999999987</v>
      </c>
      <c r="AS37" s="520">
        <f t="shared" si="48"/>
        <v>0</v>
      </c>
      <c r="AT37" s="520">
        <f t="shared" si="48"/>
        <v>0.30000000000000004</v>
      </c>
      <c r="AU37" s="521" t="str">
        <f t="shared" si="48"/>
        <v/>
      </c>
      <c r="AW37" s="515">
        <f t="shared" si="45"/>
        <v>3.9101616702473141E-2</v>
      </c>
    </row>
    <row r="38" spans="3:52">
      <c r="F38" s="512"/>
      <c r="G38" s="512"/>
      <c r="H38" s="512"/>
      <c r="I38" s="512"/>
      <c r="J38" s="512"/>
      <c r="K38" s="512"/>
      <c r="L38" s="512"/>
      <c r="M38" s="512"/>
    </row>
    <row r="39" spans="3:52">
      <c r="F39" s="512"/>
      <c r="G39" s="512"/>
      <c r="H39" s="512"/>
      <c r="I39" s="512"/>
      <c r="J39" s="512"/>
      <c r="K39" s="512"/>
      <c r="L39" s="512"/>
      <c r="M39" s="512"/>
      <c r="AW39" s="554" t="s">
        <v>408</v>
      </c>
      <c r="AX39" s="555" t="s">
        <v>410</v>
      </c>
      <c r="AY39" s="555" t="s">
        <v>399</v>
      </c>
      <c r="AZ39" s="555" t="s">
        <v>407</v>
      </c>
    </row>
    <row r="40" spans="3:52">
      <c r="F40" s="512"/>
      <c r="G40" s="512"/>
      <c r="H40" s="512"/>
      <c r="I40" s="512"/>
      <c r="J40" s="512"/>
      <c r="K40" s="512"/>
      <c r="L40" s="512"/>
      <c r="M40" s="512"/>
      <c r="AW40" s="556" t="s">
        <v>389</v>
      </c>
      <c r="AX40" s="557">
        <f>AW24</f>
        <v>7.2903833164084109E-3</v>
      </c>
      <c r="AY40" s="558">
        <f>AZ40/SUM($AZ$40:$AZ$45)</f>
        <v>1.161566029728317E-4</v>
      </c>
      <c r="AZ40" s="559">
        <f>AY24</f>
        <v>14083.377436511091</v>
      </c>
    </row>
    <row r="41" spans="3:52">
      <c r="F41" s="512"/>
      <c r="G41" s="512"/>
      <c r="H41" s="512"/>
      <c r="I41" s="512"/>
      <c r="J41" s="512"/>
      <c r="K41" s="512"/>
      <c r="L41" s="512"/>
      <c r="M41" s="512"/>
      <c r="AW41" s="556" t="s">
        <v>13</v>
      </c>
      <c r="AX41" s="557">
        <f>AVERAGE(AW25,AW35)</f>
        <v>5.7826784955952282E-2</v>
      </c>
      <c r="AY41" s="558">
        <f t="shared" ref="AY41:AY45" si="49">AZ41/SUM($AZ$40:$AZ$45)</f>
        <v>0.61059884738075632</v>
      </c>
      <c r="AZ41" s="559">
        <f>AY25</f>
        <v>74031900.123432025</v>
      </c>
    </row>
    <row r="42" spans="3:52">
      <c r="F42" s="512"/>
      <c r="G42" s="512"/>
      <c r="H42" s="512"/>
      <c r="I42" s="512"/>
      <c r="J42" s="512"/>
      <c r="K42" s="512"/>
      <c r="L42" s="512"/>
      <c r="M42" s="512"/>
      <c r="AW42" s="556" t="s">
        <v>14</v>
      </c>
      <c r="AX42" s="557">
        <f>AVERAGE(AW26,AW35)</f>
        <v>3.8505207451801637E-2</v>
      </c>
      <c r="AY42" s="558">
        <f t="shared" si="49"/>
        <v>0.2932495211143723</v>
      </c>
      <c r="AZ42" s="559">
        <f>AY26</f>
        <v>35554962.724726044</v>
      </c>
    </row>
    <row r="43" spans="3:52">
      <c r="F43" s="512"/>
      <c r="G43" s="512"/>
      <c r="H43" s="512"/>
      <c r="I43" s="512"/>
      <c r="J43" s="512"/>
      <c r="K43" s="512"/>
      <c r="L43" s="512"/>
      <c r="M43" s="512"/>
      <c r="AW43" s="556" t="s">
        <v>355</v>
      </c>
      <c r="AX43" s="557">
        <f>AW27</f>
        <v>-5.4270147735424268E-2</v>
      </c>
      <c r="AY43" s="558">
        <f t="shared" si="49"/>
        <v>8.2879397816107564E-3</v>
      </c>
      <c r="AZ43" s="559">
        <f>AY27</f>
        <v>1004869.1260607904</v>
      </c>
    </row>
    <row r="44" spans="3:52">
      <c r="C44" s="535" t="s">
        <v>396</v>
      </c>
      <c r="D44" s="522">
        <f>AX46</f>
        <v>4.9668197185221669E-2</v>
      </c>
      <c r="AW44" s="556" t="s">
        <v>394</v>
      </c>
      <c r="AX44" s="557">
        <f>AVERAGE(AW36,AW37)</f>
        <v>4.1119938299424397E-2</v>
      </c>
      <c r="AY44" s="558">
        <f t="shared" si="49"/>
        <v>2.9819171206848728E-2</v>
      </c>
      <c r="AZ44" s="559">
        <f>SUM('2.1.1. Ingresos Serv.'!C13:K18)</f>
        <v>3615417.7395168776</v>
      </c>
    </row>
    <row r="45" spans="3:52">
      <c r="AW45" s="556" t="s">
        <v>395</v>
      </c>
      <c r="AX45" s="557">
        <f>AVERAGE(AW33:AW34)</f>
        <v>3.95380354811804E-2</v>
      </c>
      <c r="AY45" s="558">
        <f t="shared" si="49"/>
        <v>5.7928363913439009E-2</v>
      </c>
      <c r="AZ45" s="559">
        <f>SUM('2.1.1. Ingresos Serv.'!C10:K10)</f>
        <v>7023509.5758038573</v>
      </c>
    </row>
    <row r="46" spans="3:52">
      <c r="AW46" s="554" t="s">
        <v>409</v>
      </c>
      <c r="AX46" s="560">
        <f>SUMPRODUCT(AX40:AX45,AY40:AY45)</f>
        <v>4.9668197185221669E-2</v>
      </c>
      <c r="AY46" s="553"/>
      <c r="AZ46" s="553"/>
    </row>
    <row r="63" spans="2:2">
      <c r="B63" s="50" t="s">
        <v>412</v>
      </c>
    </row>
    <row r="64" spans="2:2" ht="25.5" customHeight="1" thickBot="1"/>
    <row r="65" spans="2:57">
      <c r="B65" s="621" t="s">
        <v>275</v>
      </c>
      <c r="C65" s="622"/>
      <c r="D65" s="622"/>
      <c r="E65" s="622"/>
      <c r="F65" s="622"/>
      <c r="G65" s="622"/>
      <c r="H65" s="622"/>
      <c r="I65" s="622"/>
      <c r="J65" s="622"/>
      <c r="K65" s="622"/>
      <c r="L65" s="622"/>
      <c r="M65" s="622"/>
      <c r="N65" s="622"/>
      <c r="O65" s="622"/>
      <c r="P65" s="622"/>
      <c r="Q65" s="622"/>
      <c r="R65" s="622"/>
      <c r="S65" s="622"/>
      <c r="T65" s="622"/>
      <c r="U65" s="622"/>
      <c r="V65" s="622"/>
      <c r="W65" s="622"/>
      <c r="X65" s="622"/>
      <c r="Y65" s="622"/>
      <c r="Z65" s="622"/>
      <c r="AA65" s="622"/>
      <c r="AB65" s="622"/>
      <c r="AC65" s="622"/>
      <c r="AD65" s="622"/>
      <c r="AE65" s="622"/>
      <c r="AF65" s="622"/>
      <c r="AG65" s="622"/>
      <c r="AH65" s="622"/>
      <c r="AI65" s="622"/>
      <c r="AJ65" s="622"/>
      <c r="AK65" s="622"/>
      <c r="AL65" s="622"/>
      <c r="AM65" s="622"/>
      <c r="AN65" s="622"/>
      <c r="AO65" s="622"/>
      <c r="AP65" s="622"/>
      <c r="AQ65" s="622"/>
      <c r="AR65" s="622"/>
      <c r="AS65" s="622"/>
      <c r="AT65" s="622"/>
      <c r="AU65" s="622"/>
      <c r="AV65" s="622"/>
      <c r="AW65" s="622"/>
      <c r="AX65" s="622"/>
      <c r="AY65" s="622"/>
      <c r="AZ65" s="622"/>
      <c r="BA65" s="622"/>
      <c r="BB65" s="622"/>
      <c r="BC65" s="622"/>
      <c r="BD65" s="623"/>
    </row>
    <row r="66" spans="2:57" ht="15" thickBot="1">
      <c r="B66" s="175"/>
      <c r="G66" s="461"/>
      <c r="H66" s="461"/>
      <c r="I66" s="461"/>
      <c r="J66" s="461"/>
      <c r="K66" s="461"/>
      <c r="L66" s="461"/>
      <c r="M66" s="461"/>
      <c r="N66" s="461"/>
      <c r="T66" s="461"/>
      <c r="U66" s="461"/>
      <c r="V66" s="461"/>
      <c r="W66" s="461"/>
      <c r="X66" s="461"/>
      <c r="Y66" s="376"/>
      <c r="Z66" s="376"/>
      <c r="AA66" s="376"/>
      <c r="AB66" s="376"/>
      <c r="AC66" s="461"/>
      <c r="AD66" s="461"/>
      <c r="AE66" s="461"/>
      <c r="AF66" s="461"/>
      <c r="AG66" s="461"/>
      <c r="AH66" s="461"/>
      <c r="AI66" s="461"/>
      <c r="AJ66" s="461"/>
      <c r="AV66" s="461"/>
      <c r="AX66" s="376"/>
      <c r="AY66" s="376"/>
      <c r="AZ66" s="376"/>
      <c r="BD66" s="174"/>
    </row>
    <row r="67" spans="2:57" ht="30" customHeight="1">
      <c r="B67" s="624" t="s">
        <v>276</v>
      </c>
      <c r="C67" s="625"/>
      <c r="D67" s="625"/>
      <c r="E67" s="625"/>
      <c r="F67" s="625"/>
      <c r="G67" s="625"/>
      <c r="H67" s="625"/>
      <c r="I67" s="625"/>
      <c r="J67" s="625"/>
      <c r="K67" s="625"/>
      <c r="L67" s="625"/>
      <c r="M67" s="625"/>
      <c r="N67" s="625"/>
      <c r="O67" s="625"/>
      <c r="P67" s="625"/>
      <c r="Q67" s="625"/>
      <c r="R67" s="625"/>
      <c r="S67" s="625"/>
      <c r="T67" s="625"/>
      <c r="U67" s="625"/>
      <c r="V67" s="625"/>
      <c r="W67" s="625"/>
      <c r="X67" s="625"/>
      <c r="Y67" s="625"/>
      <c r="Z67" s="625"/>
      <c r="AA67" s="625"/>
      <c r="AB67" s="625"/>
      <c r="AC67" s="625"/>
      <c r="AD67" s="625"/>
      <c r="AE67" s="625"/>
      <c r="AF67" s="625"/>
      <c r="AG67" s="625"/>
      <c r="AH67" s="625"/>
      <c r="AI67" s="625"/>
      <c r="AJ67" s="625"/>
      <c r="AK67" s="625"/>
      <c r="AL67" s="625"/>
      <c r="AM67" s="625"/>
      <c r="AN67" s="625"/>
      <c r="AO67" s="625"/>
      <c r="AP67" s="625"/>
      <c r="AQ67" s="625"/>
      <c r="AR67" s="625"/>
      <c r="AS67" s="625"/>
      <c r="AT67" s="625"/>
      <c r="AU67" s="625"/>
      <c r="AV67" s="625"/>
      <c r="AW67" s="625"/>
      <c r="AX67" s="625"/>
      <c r="AY67" s="625"/>
      <c r="AZ67" s="625"/>
      <c r="BA67" s="625"/>
      <c r="BB67" s="625"/>
      <c r="BC67" s="625"/>
      <c r="BD67" s="626"/>
    </row>
    <row r="68" spans="2:57" ht="30" customHeight="1">
      <c r="B68" s="627"/>
      <c r="C68" s="601"/>
      <c r="D68" s="601"/>
      <c r="E68" s="601"/>
      <c r="F68" s="601"/>
      <c r="G68" s="601"/>
      <c r="H68" s="601"/>
      <c r="I68" s="601"/>
      <c r="J68" s="601"/>
      <c r="K68" s="601"/>
      <c r="L68" s="601"/>
      <c r="M68" s="601"/>
      <c r="N68" s="601"/>
      <c r="O68" s="601"/>
      <c r="P68" s="601"/>
      <c r="Q68" s="601"/>
      <c r="R68" s="601"/>
      <c r="S68" s="601"/>
      <c r="T68" s="601"/>
      <c r="U68" s="601"/>
      <c r="V68" s="601"/>
      <c r="W68" s="601"/>
      <c r="X68" s="601"/>
      <c r="Y68" s="601"/>
      <c r="Z68" s="601"/>
      <c r="AA68" s="601"/>
      <c r="AB68" s="601"/>
      <c r="AC68" s="601"/>
      <c r="AD68" s="601"/>
      <c r="AE68" s="601"/>
      <c r="AF68" s="601"/>
      <c r="AG68" s="601"/>
      <c r="AH68" s="601"/>
      <c r="AI68" s="601"/>
      <c r="AJ68" s="601"/>
      <c r="AK68" s="601"/>
      <c r="AL68" s="601"/>
      <c r="AM68" s="601"/>
      <c r="AN68" s="601"/>
      <c r="AO68" s="601"/>
      <c r="AP68" s="601"/>
      <c r="AQ68" s="601"/>
      <c r="AR68" s="601"/>
      <c r="AS68" s="601"/>
      <c r="AT68" s="601"/>
      <c r="AU68" s="601"/>
      <c r="AV68" s="601"/>
      <c r="AW68" s="601"/>
      <c r="AX68" s="601"/>
      <c r="AY68" s="601"/>
      <c r="AZ68" s="601"/>
      <c r="BA68" s="601"/>
      <c r="BB68" s="601"/>
      <c r="BC68" s="601"/>
      <c r="BD68" s="628"/>
    </row>
    <row r="69" spans="2:57">
      <c r="B69" s="175"/>
      <c r="G69" s="460"/>
      <c r="H69" s="460"/>
      <c r="I69" s="460"/>
      <c r="J69" s="460"/>
      <c r="K69" s="460"/>
      <c r="L69" s="460"/>
      <c r="M69" s="460"/>
      <c r="N69" s="460"/>
      <c r="T69" s="460"/>
      <c r="U69" s="460"/>
      <c r="V69" s="460"/>
      <c r="W69" s="460"/>
      <c r="X69" s="460"/>
      <c r="Y69" s="460"/>
      <c r="Z69" s="460"/>
      <c r="AA69" s="460"/>
      <c r="AB69" s="460"/>
      <c r="AC69" s="460"/>
      <c r="AD69" s="460"/>
      <c r="AE69" s="460"/>
      <c r="AF69" s="460"/>
      <c r="AG69" s="460"/>
      <c r="AH69" s="460"/>
      <c r="AI69" s="460"/>
      <c r="AJ69" s="460"/>
      <c r="AK69" s="460"/>
      <c r="AL69" s="461"/>
      <c r="AV69" s="460"/>
      <c r="AX69" s="460"/>
      <c r="AY69" s="460"/>
      <c r="AZ69" s="460"/>
      <c r="BD69" s="174"/>
    </row>
    <row r="70" spans="2:57" ht="30" customHeight="1">
      <c r="B70" s="175"/>
      <c r="G70" s="629">
        <v>2015</v>
      </c>
      <c r="H70" s="629"/>
      <c r="I70" s="629"/>
      <c r="J70" s="629">
        <v>2016</v>
      </c>
      <c r="K70" s="629"/>
      <c r="L70" s="629"/>
      <c r="M70" s="629"/>
      <c r="N70" s="415">
        <v>2017</v>
      </c>
      <c r="T70" s="614">
        <v>2017</v>
      </c>
      <c r="U70" s="615"/>
      <c r="V70" s="615"/>
      <c r="W70" s="629">
        <v>2018</v>
      </c>
      <c r="X70" s="629"/>
      <c r="Y70" s="460"/>
      <c r="Z70" s="460"/>
      <c r="AA70" s="460"/>
      <c r="AB70" s="460"/>
      <c r="AC70" s="460"/>
      <c r="AD70" s="629">
        <v>2018</v>
      </c>
      <c r="AE70" s="629"/>
      <c r="AF70" s="614">
        <v>2019</v>
      </c>
      <c r="AG70" s="615"/>
      <c r="AH70" s="615"/>
      <c r="AI70" s="616"/>
      <c r="AJ70" s="614">
        <v>2020</v>
      </c>
      <c r="AK70" s="615"/>
      <c r="AL70" s="615"/>
      <c r="AM70" s="616"/>
      <c r="AN70" s="614">
        <v>2021</v>
      </c>
      <c r="AO70" s="615"/>
      <c r="AP70" s="615"/>
      <c r="AQ70" s="616"/>
      <c r="AR70" s="617">
        <v>2022</v>
      </c>
      <c r="AS70" s="617"/>
      <c r="AT70" s="617"/>
      <c r="AU70" s="617"/>
      <c r="AV70" s="460"/>
      <c r="AX70" s="460"/>
      <c r="AY70" s="460"/>
      <c r="AZ70" s="460"/>
      <c r="BA70" s="618">
        <v>2023</v>
      </c>
      <c r="BB70" s="619"/>
      <c r="BC70" s="619"/>
      <c r="BD70" s="620"/>
    </row>
    <row r="71" spans="2:57" ht="9.75" customHeight="1">
      <c r="B71" s="600" t="s">
        <v>277</v>
      </c>
      <c r="C71" s="593"/>
      <c r="D71" s="593"/>
      <c r="E71" s="593"/>
      <c r="F71" s="593"/>
      <c r="O71" s="593" t="s">
        <v>278</v>
      </c>
      <c r="P71" s="593"/>
      <c r="Q71" s="593"/>
      <c r="R71" s="593"/>
      <c r="S71" s="593"/>
      <c r="Y71" s="593" t="s">
        <v>279</v>
      </c>
      <c r="Z71" s="593"/>
      <c r="AA71" s="593"/>
      <c r="AB71" s="593"/>
      <c r="AC71" s="593"/>
      <c r="AV71" s="593" t="s">
        <v>280</v>
      </c>
      <c r="AW71" s="593"/>
      <c r="AX71" s="593"/>
      <c r="AY71" s="593"/>
      <c r="AZ71" s="593"/>
      <c r="BD71" s="174"/>
    </row>
    <row r="72" spans="2:57" ht="43.5">
      <c r="B72" s="481" t="s">
        <v>281</v>
      </c>
      <c r="C72" s="602" t="s">
        <v>282</v>
      </c>
      <c r="D72" s="603"/>
      <c r="E72" s="418" t="s">
        <v>283</v>
      </c>
      <c r="F72" s="418" t="s">
        <v>284</v>
      </c>
      <c r="G72" s="416" t="s">
        <v>285</v>
      </c>
      <c r="H72" s="416" t="s">
        <v>286</v>
      </c>
      <c r="I72" s="416" t="s">
        <v>287</v>
      </c>
      <c r="J72" s="416" t="s">
        <v>288</v>
      </c>
      <c r="K72" s="416" t="s">
        <v>289</v>
      </c>
      <c r="L72" s="416" t="s">
        <v>290</v>
      </c>
      <c r="M72" s="416" t="s">
        <v>291</v>
      </c>
      <c r="N72" s="416" t="s">
        <v>292</v>
      </c>
      <c r="O72" s="418" t="s">
        <v>281</v>
      </c>
      <c r="P72" s="602" t="s">
        <v>282</v>
      </c>
      <c r="Q72" s="603"/>
      <c r="R72" s="418" t="s">
        <v>283</v>
      </c>
      <c r="S72" s="418" t="s">
        <v>284</v>
      </c>
      <c r="T72" s="416" t="s">
        <v>293</v>
      </c>
      <c r="U72" s="416" t="s">
        <v>294</v>
      </c>
      <c r="V72" s="416" t="s">
        <v>295</v>
      </c>
      <c r="W72" s="416" t="s">
        <v>296</v>
      </c>
      <c r="X72" s="416" t="s">
        <v>297</v>
      </c>
      <c r="Y72" s="418" t="s">
        <v>281</v>
      </c>
      <c r="Z72" s="602" t="s">
        <v>282</v>
      </c>
      <c r="AA72" s="603"/>
      <c r="AB72" s="418" t="s">
        <v>283</v>
      </c>
      <c r="AC72" s="418" t="s">
        <v>284</v>
      </c>
      <c r="AD72" s="416" t="s">
        <v>298</v>
      </c>
      <c r="AE72" s="416" t="s">
        <v>299</v>
      </c>
      <c r="AF72" s="416" t="s">
        <v>300</v>
      </c>
      <c r="AG72" s="416" t="s">
        <v>301</v>
      </c>
      <c r="AH72" s="416" t="s">
        <v>302</v>
      </c>
      <c r="AI72" s="416" t="s">
        <v>303</v>
      </c>
      <c r="AJ72" s="416" t="s">
        <v>304</v>
      </c>
      <c r="AK72" s="416" t="s">
        <v>305</v>
      </c>
      <c r="AL72" s="416" t="s">
        <v>306</v>
      </c>
      <c r="AM72" s="416" t="s">
        <v>307</v>
      </c>
      <c r="AN72" s="416" t="s">
        <v>308</v>
      </c>
      <c r="AO72" s="416" t="s">
        <v>309</v>
      </c>
      <c r="AP72" s="416" t="s">
        <v>310</v>
      </c>
      <c r="AQ72" s="416" t="s">
        <v>311</v>
      </c>
      <c r="AR72" s="416" t="s">
        <v>312</v>
      </c>
      <c r="AS72" s="416" t="s">
        <v>313</v>
      </c>
      <c r="AT72" s="416" t="s">
        <v>314</v>
      </c>
      <c r="AU72" s="416" t="s">
        <v>315</v>
      </c>
      <c r="AV72" s="418" t="s">
        <v>281</v>
      </c>
      <c r="AW72" s="419" t="s">
        <v>282</v>
      </c>
      <c r="AX72" s="420"/>
      <c r="AY72" s="418" t="s">
        <v>283</v>
      </c>
      <c r="AZ72" s="418" t="s">
        <v>284</v>
      </c>
      <c r="BA72" s="416" t="s">
        <v>316</v>
      </c>
      <c r="BB72" s="416" t="s">
        <v>317</v>
      </c>
      <c r="BC72" s="416" t="s">
        <v>318</v>
      </c>
      <c r="BD72" s="462" t="s">
        <v>319</v>
      </c>
    </row>
    <row r="73" spans="2:57" ht="43.5">
      <c r="B73" s="480" t="s">
        <v>320</v>
      </c>
      <c r="C73" s="590" t="s">
        <v>321</v>
      </c>
      <c r="D73" s="590"/>
      <c r="E73" s="421" t="s">
        <v>322</v>
      </c>
      <c r="F73" s="422" t="s">
        <v>323</v>
      </c>
      <c r="G73" s="422" t="s">
        <v>324</v>
      </c>
      <c r="H73" s="422">
        <v>64.89</v>
      </c>
      <c r="I73" s="423">
        <v>111.24661363636365</v>
      </c>
      <c r="J73" s="424" t="s">
        <v>324</v>
      </c>
      <c r="K73" s="424" t="s">
        <v>324</v>
      </c>
      <c r="L73" s="424" t="s">
        <v>324</v>
      </c>
      <c r="M73" s="423">
        <v>149.36000000000001</v>
      </c>
      <c r="N73" s="423">
        <v>185.15551181102362</v>
      </c>
      <c r="O73" s="417" t="s">
        <v>320</v>
      </c>
      <c r="P73" s="590" t="s">
        <v>321</v>
      </c>
      <c r="Q73" s="590"/>
      <c r="R73" s="421" t="s">
        <v>322</v>
      </c>
      <c r="S73" s="422" t="s">
        <v>323</v>
      </c>
      <c r="T73" s="424" t="s">
        <v>324</v>
      </c>
      <c r="U73" s="423">
        <v>145.33000000000001</v>
      </c>
      <c r="V73" s="423">
        <v>171.96597812879708</v>
      </c>
      <c r="W73" s="423">
        <v>178.88</v>
      </c>
      <c r="X73" s="423" t="s">
        <v>324</v>
      </c>
      <c r="Y73" s="417" t="s">
        <v>320</v>
      </c>
      <c r="Z73" s="590" t="s">
        <v>321</v>
      </c>
      <c r="AA73" s="590"/>
      <c r="AB73" s="421" t="s">
        <v>322</v>
      </c>
      <c r="AC73" s="422" t="s">
        <v>323</v>
      </c>
      <c r="AD73" s="425" t="s">
        <v>324</v>
      </c>
      <c r="AE73" s="423">
        <v>148.79494835623117</v>
      </c>
      <c r="AF73" s="423">
        <v>153.81336603376721</v>
      </c>
      <c r="AG73" s="423">
        <v>174.33</v>
      </c>
      <c r="AH73" s="425" t="s">
        <v>324</v>
      </c>
      <c r="AI73" s="425" t="s">
        <v>324</v>
      </c>
      <c r="AJ73" s="425" t="s">
        <v>324</v>
      </c>
      <c r="AK73" s="425" t="s">
        <v>324</v>
      </c>
      <c r="AL73" s="425" t="s">
        <v>324</v>
      </c>
      <c r="AM73" s="425" t="s">
        <v>324</v>
      </c>
      <c r="AN73" s="425" t="s">
        <v>324</v>
      </c>
      <c r="AO73" s="425" t="s">
        <v>324</v>
      </c>
      <c r="AP73" s="425" t="s">
        <v>324</v>
      </c>
      <c r="AQ73" s="425" t="s">
        <v>324</v>
      </c>
      <c r="AR73" s="425" t="s">
        <v>324</v>
      </c>
      <c r="AS73" s="425" t="s">
        <v>324</v>
      </c>
      <c r="AT73" s="425" t="s">
        <v>324</v>
      </c>
      <c r="AU73" s="425" t="s">
        <v>324</v>
      </c>
      <c r="AV73" s="417" t="s">
        <v>320</v>
      </c>
      <c r="AW73" s="586" t="s">
        <v>321</v>
      </c>
      <c r="AX73" s="587"/>
      <c r="AY73" s="421" t="s">
        <v>322</v>
      </c>
      <c r="AZ73" s="422" t="s">
        <v>323</v>
      </c>
      <c r="BA73" s="427" t="s">
        <v>324</v>
      </c>
      <c r="BB73" s="427" t="s">
        <v>324</v>
      </c>
      <c r="BC73" s="427" t="s">
        <v>324</v>
      </c>
      <c r="BD73" s="463" t="s">
        <v>324</v>
      </c>
      <c r="BE73" s="114"/>
    </row>
    <row r="74" spans="2:57" ht="43.5">
      <c r="B74" s="482" t="s">
        <v>325</v>
      </c>
      <c r="C74" s="596" t="s">
        <v>13</v>
      </c>
      <c r="D74" s="430" t="s">
        <v>326</v>
      </c>
      <c r="E74" s="588" t="s">
        <v>322</v>
      </c>
      <c r="F74" s="422" t="s">
        <v>327</v>
      </c>
      <c r="G74" s="432">
        <v>1208.0899999999999</v>
      </c>
      <c r="H74" s="432">
        <v>947.56</v>
      </c>
      <c r="I74" s="432">
        <v>1014.4229855536456</v>
      </c>
      <c r="J74" s="432">
        <v>1203.9477595628416</v>
      </c>
      <c r="K74" s="432">
        <v>1251.56</v>
      </c>
      <c r="L74" s="432">
        <v>935.15797061269768</v>
      </c>
      <c r="M74" s="432">
        <v>1177.22</v>
      </c>
      <c r="N74" s="432">
        <v>1188.7131872826019</v>
      </c>
      <c r="O74" s="428" t="s">
        <v>325</v>
      </c>
      <c r="P74" s="596" t="s">
        <v>13</v>
      </c>
      <c r="Q74" s="430" t="s">
        <v>326</v>
      </c>
      <c r="R74" s="588" t="s">
        <v>322</v>
      </c>
      <c r="S74" s="422" t="s">
        <v>327</v>
      </c>
      <c r="T74" s="432">
        <v>1019.6396226415094</v>
      </c>
      <c r="U74" s="432">
        <v>1221.6099999999999</v>
      </c>
      <c r="V74" s="432">
        <v>1188.5055676591621</v>
      </c>
      <c r="W74" s="432">
        <v>1128.1350905482509</v>
      </c>
      <c r="X74" s="432">
        <v>1035.5836575875501</v>
      </c>
      <c r="Y74" s="428" t="s">
        <v>325</v>
      </c>
      <c r="Z74" s="594" t="s">
        <v>13</v>
      </c>
      <c r="AA74" s="430" t="s">
        <v>326</v>
      </c>
      <c r="AB74" s="593" t="s">
        <v>322</v>
      </c>
      <c r="AC74" s="422" t="s">
        <v>327</v>
      </c>
      <c r="AD74" s="432">
        <v>1075.29</v>
      </c>
      <c r="AE74" s="432">
        <v>1177.9101376547442</v>
      </c>
      <c r="AF74" s="432">
        <v>962.71016267541847</v>
      </c>
      <c r="AG74" s="432">
        <v>976.46</v>
      </c>
      <c r="AH74" s="432">
        <v>1009.5949937795531</v>
      </c>
      <c r="AI74" s="432">
        <v>892.53116712618737</v>
      </c>
      <c r="AJ74" s="432">
        <v>1071.7183573617106</v>
      </c>
      <c r="AK74" s="432">
        <v>930.19</v>
      </c>
      <c r="AL74" s="432">
        <v>875.87368847727123</v>
      </c>
      <c r="AM74" s="432">
        <v>1061.8900000000001</v>
      </c>
      <c r="AN74" s="432">
        <v>1095.6500000000001</v>
      </c>
      <c r="AO74" s="425">
        <v>1125.2</v>
      </c>
      <c r="AP74" s="425">
        <v>1000.32</v>
      </c>
      <c r="AQ74" s="425">
        <v>1176.4851986917147</v>
      </c>
      <c r="AR74" s="425">
        <v>986.00566166470617</v>
      </c>
      <c r="AS74" s="425">
        <v>1086.67</v>
      </c>
      <c r="AT74" s="425">
        <v>975.56</v>
      </c>
      <c r="AU74" s="425">
        <v>1121.18</v>
      </c>
      <c r="AV74" s="431" t="s">
        <v>328</v>
      </c>
      <c r="AW74" s="591" t="s">
        <v>13</v>
      </c>
      <c r="AX74" s="592"/>
      <c r="AY74" s="588" t="s">
        <v>322</v>
      </c>
      <c r="AZ74" s="596" t="s">
        <v>329</v>
      </c>
      <c r="BA74" s="604">
        <v>540.26</v>
      </c>
      <c r="BB74" s="604">
        <v>496.62</v>
      </c>
      <c r="BC74" s="604">
        <v>526.44000000000005</v>
      </c>
      <c r="BD74" s="607">
        <v>545.4</v>
      </c>
      <c r="BE74" s="114"/>
    </row>
    <row r="75" spans="2:57" ht="43.5">
      <c r="B75" s="483" t="s">
        <v>330</v>
      </c>
      <c r="C75" s="597"/>
      <c r="D75" s="430" t="s">
        <v>331</v>
      </c>
      <c r="E75" s="589"/>
      <c r="F75" s="422" t="s">
        <v>332</v>
      </c>
      <c r="G75" s="432">
        <v>219.84</v>
      </c>
      <c r="H75" s="432">
        <v>241.12258697403914</v>
      </c>
      <c r="I75" s="432">
        <v>343.10414455757916</v>
      </c>
      <c r="J75" s="432">
        <v>418.74295964125565</v>
      </c>
      <c r="K75" s="432">
        <v>307.86</v>
      </c>
      <c r="L75" s="432">
        <v>316.20664648757719</v>
      </c>
      <c r="M75" s="432">
        <v>298.29000000000002</v>
      </c>
      <c r="N75" s="432">
        <v>238.74305647840532</v>
      </c>
      <c r="O75" s="434" t="s">
        <v>330</v>
      </c>
      <c r="P75" s="597"/>
      <c r="Q75" s="430" t="s">
        <v>331</v>
      </c>
      <c r="R75" s="589"/>
      <c r="S75" s="422" t="s">
        <v>332</v>
      </c>
      <c r="T75" s="432">
        <v>309.24128273351073</v>
      </c>
      <c r="U75" s="432">
        <v>418.84</v>
      </c>
      <c r="V75" s="432">
        <v>422.02340170194196</v>
      </c>
      <c r="W75" s="432">
        <v>523.02641025641026</v>
      </c>
      <c r="X75" s="432">
        <v>490.18491312332247</v>
      </c>
      <c r="Y75" s="434" t="s">
        <v>330</v>
      </c>
      <c r="Z75" s="594"/>
      <c r="AA75" s="430" t="s">
        <v>331</v>
      </c>
      <c r="AB75" s="593"/>
      <c r="AC75" s="422" t="s">
        <v>332</v>
      </c>
      <c r="AD75" s="432">
        <v>476.04</v>
      </c>
      <c r="AE75" s="432">
        <v>406.50882186416487</v>
      </c>
      <c r="AF75" s="432">
        <v>506.40883093809146</v>
      </c>
      <c r="AG75" s="432">
        <v>497.98</v>
      </c>
      <c r="AH75" s="432">
        <v>552.1924503400445</v>
      </c>
      <c r="AI75" s="432">
        <v>559.20458036790046</v>
      </c>
      <c r="AJ75" s="432">
        <v>504.77510807150583</v>
      </c>
      <c r="AK75" s="432">
        <v>546.97</v>
      </c>
      <c r="AL75" s="432">
        <v>833.51061758003766</v>
      </c>
      <c r="AM75" s="432">
        <v>882.33</v>
      </c>
      <c r="AN75" s="432">
        <v>799.27</v>
      </c>
      <c r="AO75" s="425">
        <v>871.2</v>
      </c>
      <c r="AP75" s="425">
        <v>655.04999999999995</v>
      </c>
      <c r="AQ75" s="425">
        <v>790.85845544600033</v>
      </c>
      <c r="AR75" s="425">
        <v>467.89132700924603</v>
      </c>
      <c r="AS75" s="423">
        <v>568.06755329322868</v>
      </c>
      <c r="AT75" s="423">
        <v>661.17</v>
      </c>
      <c r="AU75" s="423">
        <v>754.53</v>
      </c>
      <c r="AV75" s="436"/>
      <c r="AW75" s="610"/>
      <c r="AX75" s="611"/>
      <c r="AY75" s="589"/>
      <c r="AZ75" s="597"/>
      <c r="BA75" s="605"/>
      <c r="BB75" s="605"/>
      <c r="BC75" s="605"/>
      <c r="BD75" s="608"/>
      <c r="BE75" s="114"/>
    </row>
    <row r="76" spans="2:57" ht="43.5">
      <c r="B76" s="483" t="s">
        <v>333</v>
      </c>
      <c r="C76" s="597"/>
      <c r="D76" s="430" t="s">
        <v>334</v>
      </c>
      <c r="E76" s="589"/>
      <c r="F76" s="422" t="s">
        <v>332</v>
      </c>
      <c r="G76" s="437">
        <v>358.57</v>
      </c>
      <c r="H76" s="437">
        <v>311.72874082809227</v>
      </c>
      <c r="I76" s="437">
        <v>252.49606330365975</v>
      </c>
      <c r="J76" s="437">
        <v>254.36288260364196</v>
      </c>
      <c r="K76" s="437">
        <v>280.64</v>
      </c>
      <c r="L76" s="437">
        <v>304.77347611202634</v>
      </c>
      <c r="M76" s="437">
        <v>275.26</v>
      </c>
      <c r="N76" s="437">
        <v>242.68448533698324</v>
      </c>
      <c r="O76" s="434" t="s">
        <v>333</v>
      </c>
      <c r="P76" s="597"/>
      <c r="Q76" s="430" t="s">
        <v>334</v>
      </c>
      <c r="R76" s="589"/>
      <c r="S76" s="422" t="s">
        <v>332</v>
      </c>
      <c r="T76" s="437">
        <v>316.13033094507</v>
      </c>
      <c r="U76" s="437">
        <v>382.86</v>
      </c>
      <c r="V76" s="437">
        <v>201.06461038961038</v>
      </c>
      <c r="W76" s="437">
        <v>335.5302472382956</v>
      </c>
      <c r="X76" s="437">
        <v>334.53248006301078</v>
      </c>
      <c r="Y76" s="434" t="s">
        <v>333</v>
      </c>
      <c r="Z76" s="594"/>
      <c r="AA76" s="430" t="s">
        <v>334</v>
      </c>
      <c r="AB76" s="593"/>
      <c r="AC76" s="422" t="s">
        <v>332</v>
      </c>
      <c r="AD76" s="437">
        <v>159.62</v>
      </c>
      <c r="AE76" s="437">
        <v>278.06185000052227</v>
      </c>
      <c r="AF76" s="437">
        <v>291.86272820543513</v>
      </c>
      <c r="AG76" s="437">
        <v>264.76</v>
      </c>
      <c r="AH76" s="432">
        <v>375.87323376685987</v>
      </c>
      <c r="AI76" s="432">
        <v>308.48711444437424</v>
      </c>
      <c r="AJ76" s="432">
        <v>339.95610624613931</v>
      </c>
      <c r="AK76" s="432">
        <v>334.11</v>
      </c>
      <c r="AL76" s="432" t="s">
        <v>324</v>
      </c>
      <c r="AM76" s="432">
        <v>524.16999999999996</v>
      </c>
      <c r="AN76" s="432">
        <v>439.49</v>
      </c>
      <c r="AO76" s="425">
        <v>458.21</v>
      </c>
      <c r="AP76" s="425">
        <v>514.64</v>
      </c>
      <c r="AQ76" s="425">
        <v>484.84841054101599</v>
      </c>
      <c r="AR76" s="425">
        <v>468.52555142285115</v>
      </c>
      <c r="AS76" s="423">
        <v>465.04412016023866</v>
      </c>
      <c r="AT76" s="423">
        <v>433.57</v>
      </c>
      <c r="AU76" s="423">
        <v>442.25</v>
      </c>
      <c r="AV76" s="436"/>
      <c r="AW76" s="610"/>
      <c r="AX76" s="611"/>
      <c r="AY76" s="589"/>
      <c r="AZ76" s="597"/>
      <c r="BA76" s="605"/>
      <c r="BB76" s="605"/>
      <c r="BC76" s="605"/>
      <c r="BD76" s="608"/>
      <c r="BE76" s="114"/>
    </row>
    <row r="77" spans="2:57" ht="43.5">
      <c r="B77" s="483" t="s">
        <v>335</v>
      </c>
      <c r="C77" s="598"/>
      <c r="D77" s="430" t="s">
        <v>336</v>
      </c>
      <c r="E77" s="590"/>
      <c r="F77" s="422" t="s">
        <v>332</v>
      </c>
      <c r="G77" s="425">
        <v>642.70000000000005</v>
      </c>
      <c r="H77" s="425">
        <v>599.36122284794851</v>
      </c>
      <c r="I77" s="425">
        <v>617.18267419962342</v>
      </c>
      <c r="J77" s="425">
        <v>548.16007375125719</v>
      </c>
      <c r="K77" s="425">
        <v>464.01</v>
      </c>
      <c r="L77" s="425">
        <v>430.97387068201948</v>
      </c>
      <c r="M77" s="425">
        <v>456.98</v>
      </c>
      <c r="N77" s="425">
        <v>453.46047704895301</v>
      </c>
      <c r="O77" s="434" t="s">
        <v>335</v>
      </c>
      <c r="P77" s="598"/>
      <c r="Q77" s="430" t="s">
        <v>336</v>
      </c>
      <c r="R77" s="590"/>
      <c r="S77" s="422" t="s">
        <v>332</v>
      </c>
      <c r="T77" s="423" t="s">
        <v>324</v>
      </c>
      <c r="U77" s="423">
        <v>634.47</v>
      </c>
      <c r="V77" s="423">
        <v>364.05639139641141</v>
      </c>
      <c r="W77" s="423">
        <v>515.96558257025572</v>
      </c>
      <c r="X77" s="423">
        <v>380.53938220199473</v>
      </c>
      <c r="Y77" s="434" t="s">
        <v>335</v>
      </c>
      <c r="Z77" s="594"/>
      <c r="AA77" s="430" t="s">
        <v>336</v>
      </c>
      <c r="AB77" s="593"/>
      <c r="AC77" s="422" t="s">
        <v>332</v>
      </c>
      <c r="AD77" s="427" t="s">
        <v>324</v>
      </c>
      <c r="AE77" s="427" t="s">
        <v>324</v>
      </c>
      <c r="AF77" s="427" t="s">
        <v>324</v>
      </c>
      <c r="AG77" s="427" t="s">
        <v>324</v>
      </c>
      <c r="AH77" s="439" t="s">
        <v>324</v>
      </c>
      <c r="AI77" s="439" t="s">
        <v>324</v>
      </c>
      <c r="AJ77" s="439" t="s">
        <v>324</v>
      </c>
      <c r="AK77" s="439" t="s">
        <v>324</v>
      </c>
      <c r="AL77" s="439" t="s">
        <v>324</v>
      </c>
      <c r="AM77" s="439" t="s">
        <v>324</v>
      </c>
      <c r="AN77" s="439" t="s">
        <v>324</v>
      </c>
      <c r="AO77" s="427" t="s">
        <v>324</v>
      </c>
      <c r="AP77" s="427" t="s">
        <v>324</v>
      </c>
      <c r="AQ77" s="427" t="s">
        <v>324</v>
      </c>
      <c r="AR77" s="427" t="s">
        <v>324</v>
      </c>
      <c r="AS77" s="427" t="s">
        <v>324</v>
      </c>
      <c r="AT77" s="427" t="s">
        <v>324</v>
      </c>
      <c r="AU77" s="427" t="s">
        <v>324</v>
      </c>
      <c r="AV77" s="436"/>
      <c r="AW77" s="610"/>
      <c r="AX77" s="611"/>
      <c r="AY77" s="589"/>
      <c r="AZ77" s="597"/>
      <c r="BA77" s="605"/>
      <c r="BB77" s="605"/>
      <c r="BC77" s="605"/>
      <c r="BD77" s="608"/>
      <c r="BE77" s="114"/>
    </row>
    <row r="78" spans="2:57" ht="43.5">
      <c r="B78" s="482" t="s">
        <v>337</v>
      </c>
      <c r="C78" s="596" t="s">
        <v>14</v>
      </c>
      <c r="D78" s="430" t="s">
        <v>338</v>
      </c>
      <c r="E78" s="588" t="s">
        <v>322</v>
      </c>
      <c r="F78" s="422" t="s">
        <v>339</v>
      </c>
      <c r="G78" s="423">
        <v>119.4</v>
      </c>
      <c r="H78" s="423">
        <v>129.27789233375066</v>
      </c>
      <c r="I78" s="423" t="s">
        <v>324</v>
      </c>
      <c r="J78" s="423">
        <v>112.17814476458187</v>
      </c>
      <c r="K78" s="423">
        <v>105.33</v>
      </c>
      <c r="L78" s="423">
        <v>175.72959563283459</v>
      </c>
      <c r="M78" s="423">
        <v>204.09</v>
      </c>
      <c r="N78" s="423">
        <v>200.99891415994128</v>
      </c>
      <c r="O78" s="428" t="s">
        <v>337</v>
      </c>
      <c r="P78" s="596" t="s">
        <v>14</v>
      </c>
      <c r="Q78" s="430" t="s">
        <v>338</v>
      </c>
      <c r="R78" s="588" t="s">
        <v>322</v>
      </c>
      <c r="S78" s="422" t="s">
        <v>339</v>
      </c>
      <c r="T78" s="423">
        <v>178.75101798050969</v>
      </c>
      <c r="U78" s="424" t="s">
        <v>324</v>
      </c>
      <c r="V78" s="423">
        <v>144.6313052231294</v>
      </c>
      <c r="W78" s="423">
        <v>240.13752720489171</v>
      </c>
      <c r="X78" s="423">
        <v>164.45866174744256</v>
      </c>
      <c r="Y78" s="434"/>
      <c r="Z78" s="594"/>
      <c r="AA78" s="440" t="s">
        <v>340</v>
      </c>
      <c r="AB78" s="593"/>
      <c r="AC78" s="422" t="s">
        <v>332</v>
      </c>
      <c r="AD78" s="423">
        <v>311.17</v>
      </c>
      <c r="AE78" s="423">
        <v>238.81403830825786</v>
      </c>
      <c r="AF78" s="437">
        <v>212.56700298469511</v>
      </c>
      <c r="AG78" s="437">
        <v>330.85</v>
      </c>
      <c r="AH78" s="432">
        <v>249.58012870478419</v>
      </c>
      <c r="AI78" s="432">
        <v>259.92644600434892</v>
      </c>
      <c r="AJ78" s="432">
        <v>234.18280586611212</v>
      </c>
      <c r="AK78" s="432">
        <v>217.89</v>
      </c>
      <c r="AL78" s="432">
        <v>395.79331858309581</v>
      </c>
      <c r="AM78" s="432">
        <v>458.28</v>
      </c>
      <c r="AN78" s="432">
        <v>423.18</v>
      </c>
      <c r="AO78" s="425">
        <v>515.77</v>
      </c>
      <c r="AP78" s="425">
        <v>471.02</v>
      </c>
      <c r="AQ78" s="425">
        <v>493.9972932327945</v>
      </c>
      <c r="AR78" s="425">
        <v>208.74</v>
      </c>
      <c r="AS78" s="425">
        <v>406.82</v>
      </c>
      <c r="AT78" s="425">
        <v>336.16</v>
      </c>
      <c r="AU78" s="425">
        <v>468.89</v>
      </c>
      <c r="AV78" s="436"/>
      <c r="AW78" s="610"/>
      <c r="AX78" s="611"/>
      <c r="AY78" s="589"/>
      <c r="AZ78" s="597"/>
      <c r="BA78" s="605"/>
      <c r="BB78" s="605"/>
      <c r="BC78" s="605"/>
      <c r="BD78" s="608"/>
      <c r="BE78" s="114"/>
    </row>
    <row r="79" spans="2:57" ht="43.5">
      <c r="B79" s="483" t="s">
        <v>341</v>
      </c>
      <c r="C79" s="597"/>
      <c r="D79" s="430" t="s">
        <v>342</v>
      </c>
      <c r="E79" s="589"/>
      <c r="F79" s="422" t="s">
        <v>339</v>
      </c>
      <c r="G79" s="441" t="s">
        <v>324</v>
      </c>
      <c r="H79" s="441" t="s">
        <v>324</v>
      </c>
      <c r="I79" s="424" t="s">
        <v>324</v>
      </c>
      <c r="J79" s="424" t="s">
        <v>324</v>
      </c>
      <c r="K79" s="424" t="s">
        <v>324</v>
      </c>
      <c r="L79" s="424" t="s">
        <v>324</v>
      </c>
      <c r="M79" s="424" t="s">
        <v>324</v>
      </c>
      <c r="N79" s="424" t="s">
        <v>324</v>
      </c>
      <c r="O79" s="434" t="s">
        <v>341</v>
      </c>
      <c r="P79" s="597"/>
      <c r="Q79" s="430" t="s">
        <v>342</v>
      </c>
      <c r="R79" s="589"/>
      <c r="S79" s="422" t="s">
        <v>339</v>
      </c>
      <c r="T79" s="423" t="s">
        <v>324</v>
      </c>
      <c r="U79" s="424" t="s">
        <v>324</v>
      </c>
      <c r="V79" s="424" t="s">
        <v>324</v>
      </c>
      <c r="W79" s="424" t="s">
        <v>324</v>
      </c>
      <c r="X79" s="424" t="s">
        <v>324</v>
      </c>
      <c r="Y79" s="442"/>
      <c r="Z79" s="594"/>
      <c r="AA79" s="440" t="s">
        <v>343</v>
      </c>
      <c r="AB79" s="593"/>
      <c r="AC79" s="422" t="s">
        <v>344</v>
      </c>
      <c r="AD79" s="423">
        <v>229.08</v>
      </c>
      <c r="AE79" s="423">
        <v>359.43992329210545</v>
      </c>
      <c r="AF79" s="437">
        <v>407.98735889902588</v>
      </c>
      <c r="AG79" s="437">
        <v>441.14</v>
      </c>
      <c r="AH79" s="432" t="s">
        <v>324</v>
      </c>
      <c r="AI79" s="432">
        <v>383.10496032383492</v>
      </c>
      <c r="AJ79" s="432">
        <v>519.59315616996628</v>
      </c>
      <c r="AK79" s="432" t="s">
        <v>324</v>
      </c>
      <c r="AL79" s="432" t="s">
        <v>324</v>
      </c>
      <c r="AM79" s="432">
        <v>444.34</v>
      </c>
      <c r="AN79" s="432">
        <v>585.07000000000005</v>
      </c>
      <c r="AO79" s="425">
        <v>475.27</v>
      </c>
      <c r="AP79" s="425">
        <v>836.23</v>
      </c>
      <c r="AQ79" s="425">
        <v>769.55075347839772</v>
      </c>
      <c r="AR79" s="425" t="s">
        <v>324</v>
      </c>
      <c r="AS79" s="423">
        <v>666.49996697648339</v>
      </c>
      <c r="AT79" s="427" t="s">
        <v>324</v>
      </c>
      <c r="AU79" s="427" t="s">
        <v>324</v>
      </c>
      <c r="AV79" s="421"/>
      <c r="AW79" s="612"/>
      <c r="AX79" s="613"/>
      <c r="AY79" s="590"/>
      <c r="AZ79" s="598"/>
      <c r="BA79" s="606"/>
      <c r="BB79" s="606"/>
      <c r="BC79" s="606"/>
      <c r="BD79" s="609"/>
      <c r="BE79" s="114"/>
    </row>
    <row r="80" spans="2:57" ht="43.5">
      <c r="B80" s="483" t="s">
        <v>345</v>
      </c>
      <c r="C80" s="597"/>
      <c r="D80" s="430" t="s">
        <v>346</v>
      </c>
      <c r="E80" s="589"/>
      <c r="F80" s="422" t="s">
        <v>347</v>
      </c>
      <c r="G80" s="432">
        <v>165.74</v>
      </c>
      <c r="H80" s="423">
        <v>216.58772687986172</v>
      </c>
      <c r="I80" s="423">
        <v>292.97142863964132</v>
      </c>
      <c r="J80" s="423" t="s">
        <v>324</v>
      </c>
      <c r="K80" s="423">
        <v>184.81</v>
      </c>
      <c r="L80" s="423">
        <v>221.24625550660792</v>
      </c>
      <c r="M80" s="423">
        <v>144.28</v>
      </c>
      <c r="N80" s="423">
        <v>255.61818181818182</v>
      </c>
      <c r="O80" s="434" t="s">
        <v>345</v>
      </c>
      <c r="P80" s="597"/>
      <c r="Q80" s="430" t="s">
        <v>346</v>
      </c>
      <c r="R80" s="589"/>
      <c r="S80" s="422" t="s">
        <v>347</v>
      </c>
      <c r="T80" s="423" t="s">
        <v>324</v>
      </c>
      <c r="U80" s="423">
        <v>132.41999999999999</v>
      </c>
      <c r="V80" s="423">
        <v>143.77083333333334</v>
      </c>
      <c r="W80" s="424" t="s">
        <v>324</v>
      </c>
      <c r="X80" s="424" t="s">
        <v>324</v>
      </c>
      <c r="Y80" s="428" t="s">
        <v>337</v>
      </c>
      <c r="Z80" s="594" t="s">
        <v>14</v>
      </c>
      <c r="AA80" s="430" t="s">
        <v>338</v>
      </c>
      <c r="AB80" s="593" t="s">
        <v>322</v>
      </c>
      <c r="AC80" s="422" t="s">
        <v>339</v>
      </c>
      <c r="AD80" s="425" t="s">
        <v>324</v>
      </c>
      <c r="AE80" s="425" t="s">
        <v>324</v>
      </c>
      <c r="AF80" s="422" t="s">
        <v>324</v>
      </c>
      <c r="AG80" s="437">
        <v>129.43</v>
      </c>
      <c r="AH80" s="432" t="s">
        <v>324</v>
      </c>
      <c r="AI80" s="432" t="s">
        <v>324</v>
      </c>
      <c r="AJ80" s="432" t="s">
        <v>324</v>
      </c>
      <c r="AK80" s="432" t="s">
        <v>324</v>
      </c>
      <c r="AL80" s="432" t="s">
        <v>324</v>
      </c>
      <c r="AM80" s="432" t="s">
        <v>324</v>
      </c>
      <c r="AN80" s="432" t="s">
        <v>324</v>
      </c>
      <c r="AO80" s="425" t="s">
        <v>324</v>
      </c>
      <c r="AP80" s="425">
        <v>159.76</v>
      </c>
      <c r="AQ80" s="425">
        <v>165.49740969237453</v>
      </c>
      <c r="AR80" s="425">
        <v>175.52</v>
      </c>
      <c r="AS80" s="423">
        <v>192.8901179818337</v>
      </c>
      <c r="AT80" s="423">
        <v>202.31</v>
      </c>
      <c r="AU80" s="423">
        <v>188.7</v>
      </c>
      <c r="AV80" s="428" t="s">
        <v>337</v>
      </c>
      <c r="AW80" s="596" t="s">
        <v>14</v>
      </c>
      <c r="AX80" s="430" t="s">
        <v>338</v>
      </c>
      <c r="AY80" s="588" t="s">
        <v>322</v>
      </c>
      <c r="AZ80" s="422" t="s">
        <v>339</v>
      </c>
      <c r="BA80" s="425">
        <v>204.3</v>
      </c>
      <c r="BB80" s="425">
        <v>176.88</v>
      </c>
      <c r="BC80" s="425">
        <v>259.58999999999997</v>
      </c>
      <c r="BD80" s="464">
        <v>191.38</v>
      </c>
      <c r="BE80" s="114"/>
    </row>
    <row r="81" spans="2:58" ht="43.5">
      <c r="B81" s="483" t="s">
        <v>348</v>
      </c>
      <c r="C81" s="597"/>
      <c r="D81" s="430" t="s">
        <v>349</v>
      </c>
      <c r="E81" s="589"/>
      <c r="F81" s="422" t="s">
        <v>350</v>
      </c>
      <c r="G81" s="441" t="s">
        <v>324</v>
      </c>
      <c r="H81" s="423">
        <v>411.17821465675695</v>
      </c>
      <c r="I81" s="423">
        <v>337.01172710239177</v>
      </c>
      <c r="J81" s="423">
        <v>382.22005311131841</v>
      </c>
      <c r="K81" s="423">
        <v>262.64</v>
      </c>
      <c r="L81" s="423">
        <v>324.69655463961107</v>
      </c>
      <c r="M81" s="423">
        <v>416.67</v>
      </c>
      <c r="N81" s="423">
        <v>210.33126477541373</v>
      </c>
      <c r="O81" s="434" t="s">
        <v>348</v>
      </c>
      <c r="P81" s="597"/>
      <c r="Q81" s="430" t="s">
        <v>349</v>
      </c>
      <c r="R81" s="589"/>
      <c r="S81" s="422" t="s">
        <v>350</v>
      </c>
      <c r="T81" s="423">
        <v>376.59975354282193</v>
      </c>
      <c r="U81" s="423">
        <v>248.22</v>
      </c>
      <c r="V81" s="423">
        <v>251.4111467008328</v>
      </c>
      <c r="W81" s="423">
        <v>421.549458999286</v>
      </c>
      <c r="X81" s="423">
        <v>448.68017366136036</v>
      </c>
      <c r="Y81" s="434" t="s">
        <v>341</v>
      </c>
      <c r="Z81" s="594"/>
      <c r="AA81" s="430" t="s">
        <v>342</v>
      </c>
      <c r="AB81" s="593"/>
      <c r="AC81" s="422" t="s">
        <v>339</v>
      </c>
      <c r="AD81" s="425" t="s">
        <v>324</v>
      </c>
      <c r="AE81" s="425" t="s">
        <v>324</v>
      </c>
      <c r="AF81" s="422" t="s">
        <v>324</v>
      </c>
      <c r="AG81" s="422" t="s">
        <v>324</v>
      </c>
      <c r="AH81" s="432" t="s">
        <v>324</v>
      </c>
      <c r="AI81" s="432" t="s">
        <v>324</v>
      </c>
      <c r="AJ81" s="432" t="s">
        <v>324</v>
      </c>
      <c r="AK81" s="432" t="s">
        <v>324</v>
      </c>
      <c r="AL81" s="432" t="s">
        <v>324</v>
      </c>
      <c r="AM81" s="432" t="s">
        <v>324</v>
      </c>
      <c r="AN81" s="432" t="s">
        <v>324</v>
      </c>
      <c r="AO81" s="425" t="s">
        <v>324</v>
      </c>
      <c r="AP81" s="425" t="s">
        <v>324</v>
      </c>
      <c r="AQ81" s="425" t="s">
        <v>324</v>
      </c>
      <c r="AR81" s="425" t="s">
        <v>324</v>
      </c>
      <c r="AS81" s="425" t="s">
        <v>324</v>
      </c>
      <c r="AT81" s="425" t="s">
        <v>324</v>
      </c>
      <c r="AU81" s="425" t="s">
        <v>324</v>
      </c>
      <c r="AV81" s="434" t="s">
        <v>341</v>
      </c>
      <c r="AW81" s="597"/>
      <c r="AX81" s="430" t="s">
        <v>342</v>
      </c>
      <c r="AY81" s="589"/>
      <c r="AZ81" s="422" t="s">
        <v>339</v>
      </c>
      <c r="BA81" s="427" t="s">
        <v>324</v>
      </c>
      <c r="BB81" s="427" t="s">
        <v>324</v>
      </c>
      <c r="BC81" s="427" t="s">
        <v>324</v>
      </c>
      <c r="BD81" s="463" t="s">
        <v>324</v>
      </c>
      <c r="BE81" s="114"/>
    </row>
    <row r="82" spans="2:58" ht="43.5">
      <c r="B82" s="483" t="s">
        <v>351</v>
      </c>
      <c r="C82" s="598"/>
      <c r="D82" s="430" t="s">
        <v>352</v>
      </c>
      <c r="E82" s="590"/>
      <c r="F82" s="422" t="s">
        <v>353</v>
      </c>
      <c r="G82" s="441" t="s">
        <v>324</v>
      </c>
      <c r="H82" s="423">
        <v>57.718428827029506</v>
      </c>
      <c r="I82" s="423">
        <v>69.707534246575349</v>
      </c>
      <c r="J82" s="424" t="s">
        <v>324</v>
      </c>
      <c r="K82" s="423">
        <v>115.69</v>
      </c>
      <c r="L82" s="424" t="s">
        <v>324</v>
      </c>
      <c r="M82" s="424" t="s">
        <v>324</v>
      </c>
      <c r="N82" s="424" t="s">
        <v>324</v>
      </c>
      <c r="O82" s="434" t="s">
        <v>351</v>
      </c>
      <c r="P82" s="598"/>
      <c r="Q82" s="430" t="s">
        <v>352</v>
      </c>
      <c r="R82" s="590"/>
      <c r="S82" s="422" t="s">
        <v>353</v>
      </c>
      <c r="T82" s="424" t="s">
        <v>324</v>
      </c>
      <c r="U82" s="424" t="s">
        <v>324</v>
      </c>
      <c r="V82" s="424" t="s">
        <v>324</v>
      </c>
      <c r="W82" s="424" t="s">
        <v>324</v>
      </c>
      <c r="X82" s="424" t="s">
        <v>324</v>
      </c>
      <c r="Y82" s="434" t="s">
        <v>345</v>
      </c>
      <c r="Z82" s="594"/>
      <c r="AA82" s="430" t="s">
        <v>340</v>
      </c>
      <c r="AB82" s="593"/>
      <c r="AC82" s="422" t="s">
        <v>347</v>
      </c>
      <c r="AD82" s="423">
        <v>196.16</v>
      </c>
      <c r="AE82" s="423">
        <v>280.85737840201517</v>
      </c>
      <c r="AF82" s="432">
        <v>198.28917005941057</v>
      </c>
      <c r="AG82" s="422" t="s">
        <v>324</v>
      </c>
      <c r="AH82" s="432">
        <v>206.76612450857908</v>
      </c>
      <c r="AI82" s="432">
        <v>166.91</v>
      </c>
      <c r="AJ82" s="432">
        <v>176.19946685251062</v>
      </c>
      <c r="AK82" s="432">
        <v>142.78</v>
      </c>
      <c r="AL82" s="432">
        <v>151.16541468946122</v>
      </c>
      <c r="AM82" s="432">
        <v>168.24</v>
      </c>
      <c r="AN82" s="432">
        <v>202.24</v>
      </c>
      <c r="AO82" s="425">
        <v>178.92</v>
      </c>
      <c r="AP82" s="425">
        <v>160.88</v>
      </c>
      <c r="AQ82" s="425">
        <v>203.90053786574805</v>
      </c>
      <c r="AR82" s="425">
        <v>132.16</v>
      </c>
      <c r="AS82" s="423">
        <v>134.46497112656755</v>
      </c>
      <c r="AT82" s="423">
        <v>200.69</v>
      </c>
      <c r="AU82" s="423">
        <v>288.62</v>
      </c>
      <c r="AV82" s="434" t="s">
        <v>345</v>
      </c>
      <c r="AW82" s="597"/>
      <c r="AX82" s="430" t="s">
        <v>340</v>
      </c>
      <c r="AY82" s="589"/>
      <c r="AZ82" s="422" t="s">
        <v>347</v>
      </c>
      <c r="BA82" s="425">
        <v>302.32</v>
      </c>
      <c r="BB82" s="427" t="s">
        <v>324</v>
      </c>
      <c r="BC82" s="427" t="s">
        <v>324</v>
      </c>
      <c r="BD82" s="463" t="s">
        <v>324</v>
      </c>
      <c r="BE82" s="114"/>
    </row>
    <row r="83" spans="2:58" ht="43.5">
      <c r="B83" s="482" t="s">
        <v>354</v>
      </c>
      <c r="C83" s="588" t="s">
        <v>355</v>
      </c>
      <c r="D83" s="430" t="s">
        <v>356</v>
      </c>
      <c r="E83" s="588" t="s">
        <v>322</v>
      </c>
      <c r="F83" s="422" t="s">
        <v>357</v>
      </c>
      <c r="G83" s="441" t="s">
        <v>324</v>
      </c>
      <c r="H83" s="423">
        <v>81.874307424410318</v>
      </c>
      <c r="I83" s="441" t="s">
        <v>324</v>
      </c>
      <c r="J83" s="424" t="s">
        <v>324</v>
      </c>
      <c r="K83" s="424" t="s">
        <v>324</v>
      </c>
      <c r="L83" s="424" t="s">
        <v>324</v>
      </c>
      <c r="M83" s="424" t="s">
        <v>324</v>
      </c>
      <c r="N83" s="424" t="s">
        <v>324</v>
      </c>
      <c r="O83" s="428" t="s">
        <v>354</v>
      </c>
      <c r="P83" s="588" t="s">
        <v>355</v>
      </c>
      <c r="Q83" s="430" t="s">
        <v>356</v>
      </c>
      <c r="R83" s="588" t="s">
        <v>322</v>
      </c>
      <c r="S83" s="422" t="s">
        <v>357</v>
      </c>
      <c r="T83" s="424" t="s">
        <v>324</v>
      </c>
      <c r="U83" s="424" t="s">
        <v>324</v>
      </c>
      <c r="V83" s="424" t="s">
        <v>324</v>
      </c>
      <c r="W83" s="424" t="s">
        <v>324</v>
      </c>
      <c r="X83" s="424" t="s">
        <v>324</v>
      </c>
      <c r="Y83" s="434" t="s">
        <v>348</v>
      </c>
      <c r="Z83" s="594"/>
      <c r="AA83" s="430" t="s">
        <v>349</v>
      </c>
      <c r="AB83" s="593"/>
      <c r="AC83" s="422" t="s">
        <v>350</v>
      </c>
      <c r="AD83" s="423">
        <v>446.2</v>
      </c>
      <c r="AE83" s="425" t="s">
        <v>324</v>
      </c>
      <c r="AF83" s="432" t="s">
        <v>324</v>
      </c>
      <c r="AG83" s="422" t="s">
        <v>324</v>
      </c>
      <c r="AH83" s="432">
        <v>394.40656971161479</v>
      </c>
      <c r="AI83" s="432">
        <v>393.91960806140423</v>
      </c>
      <c r="AJ83" s="432" t="s">
        <v>324</v>
      </c>
      <c r="AK83" s="432">
        <v>324.58999999999997</v>
      </c>
      <c r="AL83" s="432">
        <v>309.68951698662062</v>
      </c>
      <c r="AM83" s="432">
        <v>383.78</v>
      </c>
      <c r="AN83" s="432">
        <v>398.32</v>
      </c>
      <c r="AO83" s="425">
        <v>364.15</v>
      </c>
      <c r="AP83" s="425" t="s">
        <v>324</v>
      </c>
      <c r="AQ83" s="425">
        <v>271.9054038135132</v>
      </c>
      <c r="AR83" s="425" t="s">
        <v>324</v>
      </c>
      <c r="AS83" s="425" t="s">
        <v>324</v>
      </c>
      <c r="AT83" s="425">
        <v>413.26</v>
      </c>
      <c r="AU83" s="425">
        <v>463.87</v>
      </c>
      <c r="AV83" s="434" t="s">
        <v>348</v>
      </c>
      <c r="AW83" s="597"/>
      <c r="AX83" s="430" t="s">
        <v>349</v>
      </c>
      <c r="AY83" s="589"/>
      <c r="AZ83" s="422" t="s">
        <v>350</v>
      </c>
      <c r="BA83" s="425" t="s">
        <v>324</v>
      </c>
      <c r="BB83" s="425">
        <v>358.89</v>
      </c>
      <c r="BC83" s="427" t="s">
        <v>324</v>
      </c>
      <c r="BD83" s="463" t="s">
        <v>324</v>
      </c>
      <c r="BE83" s="114"/>
    </row>
    <row r="84" spans="2:58" ht="43.5">
      <c r="B84" s="483" t="s">
        <v>358</v>
      </c>
      <c r="C84" s="589"/>
      <c r="D84" s="430" t="s">
        <v>359</v>
      </c>
      <c r="E84" s="589"/>
      <c r="F84" s="422" t="s">
        <v>360</v>
      </c>
      <c r="G84" s="441" t="s">
        <v>324</v>
      </c>
      <c r="H84" s="441" t="s">
        <v>324</v>
      </c>
      <c r="I84" s="441" t="s">
        <v>324</v>
      </c>
      <c r="J84" s="424" t="s">
        <v>324</v>
      </c>
      <c r="K84" s="424" t="s">
        <v>324</v>
      </c>
      <c r="L84" s="424" t="s">
        <v>324</v>
      </c>
      <c r="M84" s="424" t="s">
        <v>324</v>
      </c>
      <c r="N84" s="424" t="s">
        <v>324</v>
      </c>
      <c r="O84" s="434" t="s">
        <v>358</v>
      </c>
      <c r="P84" s="589"/>
      <c r="Q84" s="430" t="s">
        <v>359</v>
      </c>
      <c r="R84" s="589"/>
      <c r="S84" s="422" t="s">
        <v>360</v>
      </c>
      <c r="T84" s="424" t="s">
        <v>324</v>
      </c>
      <c r="U84" s="424" t="s">
        <v>324</v>
      </c>
      <c r="V84" s="424" t="s">
        <v>324</v>
      </c>
      <c r="W84" s="424" t="s">
        <v>324</v>
      </c>
      <c r="X84" s="424" t="s">
        <v>324</v>
      </c>
      <c r="Y84" s="442" t="s">
        <v>351</v>
      </c>
      <c r="Z84" s="594"/>
      <c r="AA84" s="430" t="s">
        <v>352</v>
      </c>
      <c r="AB84" s="593"/>
      <c r="AC84" s="422" t="s">
        <v>361</v>
      </c>
      <c r="AD84" s="425" t="s">
        <v>324</v>
      </c>
      <c r="AE84" s="425" t="s">
        <v>324</v>
      </c>
      <c r="AF84" s="422" t="s">
        <v>324</v>
      </c>
      <c r="AG84" s="422">
        <v>47.86</v>
      </c>
      <c r="AH84" s="432" t="s">
        <v>324</v>
      </c>
      <c r="AI84" s="432" t="s">
        <v>324</v>
      </c>
      <c r="AJ84" s="432" t="s">
        <v>324</v>
      </c>
      <c r="AK84" s="432" t="s">
        <v>324</v>
      </c>
      <c r="AL84" s="432" t="s">
        <v>324</v>
      </c>
      <c r="AM84" s="432" t="s">
        <v>324</v>
      </c>
      <c r="AN84" s="432" t="s">
        <v>324</v>
      </c>
      <c r="AO84" s="425" t="s">
        <v>324</v>
      </c>
      <c r="AP84" s="425" t="s">
        <v>324</v>
      </c>
      <c r="AQ84" s="425" t="s">
        <v>324</v>
      </c>
      <c r="AR84" s="425" t="s">
        <v>324</v>
      </c>
      <c r="AS84" s="425" t="s">
        <v>324</v>
      </c>
      <c r="AT84" s="425">
        <v>76.834482738341705</v>
      </c>
      <c r="AU84" s="425" t="s">
        <v>324</v>
      </c>
      <c r="AV84" s="442" t="s">
        <v>351</v>
      </c>
      <c r="AW84" s="598"/>
      <c r="AX84" s="430" t="s">
        <v>352</v>
      </c>
      <c r="AY84" s="590"/>
      <c r="AZ84" s="422" t="s">
        <v>361</v>
      </c>
      <c r="BA84" s="427" t="s">
        <v>324</v>
      </c>
      <c r="BB84" s="427" t="s">
        <v>324</v>
      </c>
      <c r="BC84" s="427" t="s">
        <v>324</v>
      </c>
      <c r="BD84" s="463" t="s">
        <v>324</v>
      </c>
      <c r="BE84" s="114"/>
    </row>
    <row r="85" spans="2:58" ht="43.5">
      <c r="B85" s="484" t="s">
        <v>362</v>
      </c>
      <c r="C85" s="590"/>
      <c r="D85" s="430" t="s">
        <v>363</v>
      </c>
      <c r="E85" s="590"/>
      <c r="F85" s="422" t="s">
        <v>364</v>
      </c>
      <c r="G85" s="441" t="s">
        <v>324</v>
      </c>
      <c r="H85" s="441" t="s">
        <v>324</v>
      </c>
      <c r="I85" s="441" t="s">
        <v>324</v>
      </c>
      <c r="J85" s="424" t="s">
        <v>324</v>
      </c>
      <c r="K85" s="424" t="s">
        <v>324</v>
      </c>
      <c r="L85" s="424" t="s">
        <v>324</v>
      </c>
      <c r="M85" s="424" t="s">
        <v>324</v>
      </c>
      <c r="N85" s="424" t="s">
        <v>324</v>
      </c>
      <c r="O85" s="442" t="s">
        <v>362</v>
      </c>
      <c r="P85" s="590"/>
      <c r="Q85" s="430" t="s">
        <v>363</v>
      </c>
      <c r="R85" s="590"/>
      <c r="S85" s="422" t="s">
        <v>364</v>
      </c>
      <c r="T85" s="424" t="s">
        <v>324</v>
      </c>
      <c r="U85" s="424" t="s">
        <v>324</v>
      </c>
      <c r="V85" s="424" t="s">
        <v>324</v>
      </c>
      <c r="W85" s="424" t="s">
        <v>324</v>
      </c>
      <c r="X85" s="424" t="s">
        <v>324</v>
      </c>
      <c r="Y85" s="428" t="s">
        <v>354</v>
      </c>
      <c r="Z85" s="593" t="s">
        <v>355</v>
      </c>
      <c r="AA85" s="430" t="s">
        <v>356</v>
      </c>
      <c r="AB85" s="593" t="s">
        <v>322</v>
      </c>
      <c r="AC85" s="422" t="s">
        <v>357</v>
      </c>
      <c r="AD85" s="425" t="s">
        <v>324</v>
      </c>
      <c r="AE85" s="425" t="s">
        <v>324</v>
      </c>
      <c r="AF85" s="422" t="s">
        <v>324</v>
      </c>
      <c r="AG85" s="422" t="s">
        <v>324</v>
      </c>
      <c r="AH85" s="422" t="s">
        <v>324</v>
      </c>
      <c r="AI85" s="422" t="s">
        <v>324</v>
      </c>
      <c r="AJ85" s="422" t="s">
        <v>324</v>
      </c>
      <c r="AK85" s="422" t="s">
        <v>324</v>
      </c>
      <c r="AL85" s="422" t="s">
        <v>324</v>
      </c>
      <c r="AM85" s="422" t="s">
        <v>324</v>
      </c>
      <c r="AN85" s="422" t="s">
        <v>324</v>
      </c>
      <c r="AO85" s="425" t="s">
        <v>324</v>
      </c>
      <c r="AP85" s="443">
        <v>81</v>
      </c>
      <c r="AQ85" s="425" t="s">
        <v>324</v>
      </c>
      <c r="AR85" s="425" t="s">
        <v>324</v>
      </c>
      <c r="AS85" s="425" t="s">
        <v>324</v>
      </c>
      <c r="AT85" s="425" t="s">
        <v>324</v>
      </c>
      <c r="AU85" s="425">
        <v>83</v>
      </c>
      <c r="AV85" s="428" t="s">
        <v>354</v>
      </c>
      <c r="AW85" s="588" t="s">
        <v>355</v>
      </c>
      <c r="AX85" s="430" t="s">
        <v>356</v>
      </c>
      <c r="AY85" s="588" t="s">
        <v>322</v>
      </c>
      <c r="AZ85" s="422" t="s">
        <v>357</v>
      </c>
      <c r="BA85" s="425">
        <v>86.5</v>
      </c>
      <c r="BB85" s="425">
        <v>80.3</v>
      </c>
      <c r="BC85" s="425">
        <v>84.58</v>
      </c>
      <c r="BD85" s="464">
        <v>81.45</v>
      </c>
      <c r="BE85" s="283"/>
    </row>
    <row r="86" spans="2:58" ht="29">
      <c r="B86" s="175"/>
      <c r="Y86" s="434" t="s">
        <v>358</v>
      </c>
      <c r="Z86" s="593"/>
      <c r="AA86" s="430" t="s">
        <v>359</v>
      </c>
      <c r="AB86" s="593"/>
      <c r="AC86" s="422" t="s">
        <v>360</v>
      </c>
      <c r="AD86" s="425" t="s">
        <v>324</v>
      </c>
      <c r="AE86" s="425" t="s">
        <v>324</v>
      </c>
      <c r="AF86" s="422" t="s">
        <v>324</v>
      </c>
      <c r="AG86" s="422" t="s">
        <v>324</v>
      </c>
      <c r="AH86" s="422" t="s">
        <v>324</v>
      </c>
      <c r="AI86" s="422" t="s">
        <v>324</v>
      </c>
      <c r="AJ86" s="422" t="s">
        <v>324</v>
      </c>
      <c r="AK86" s="422" t="s">
        <v>324</v>
      </c>
      <c r="AL86" s="422" t="s">
        <v>324</v>
      </c>
      <c r="AM86" s="422" t="s">
        <v>324</v>
      </c>
      <c r="AN86" s="422" t="s">
        <v>324</v>
      </c>
      <c r="AO86" s="425" t="s">
        <v>324</v>
      </c>
      <c r="AP86" s="425" t="s">
        <v>324</v>
      </c>
      <c r="AQ86" s="425" t="s">
        <v>324</v>
      </c>
      <c r="AR86" s="425" t="s">
        <v>324</v>
      </c>
      <c r="AS86" s="425" t="s">
        <v>324</v>
      </c>
      <c r="AT86" s="425" t="s">
        <v>324</v>
      </c>
      <c r="AU86" s="425" t="s">
        <v>324</v>
      </c>
      <c r="AV86" s="434" t="s">
        <v>358</v>
      </c>
      <c r="AW86" s="589"/>
      <c r="AX86" s="430" t="s">
        <v>359</v>
      </c>
      <c r="AY86" s="589"/>
      <c r="AZ86" s="422" t="s">
        <v>360</v>
      </c>
      <c r="BA86" s="427" t="s">
        <v>324</v>
      </c>
      <c r="BB86" s="427" t="s">
        <v>324</v>
      </c>
      <c r="BC86" s="427" t="s">
        <v>324</v>
      </c>
      <c r="BD86" s="463" t="s">
        <v>324</v>
      </c>
      <c r="BE86" s="114"/>
    </row>
    <row r="87" spans="2:58" ht="29">
      <c r="B87" s="175"/>
      <c r="Y87" s="442" t="s">
        <v>362</v>
      </c>
      <c r="Z87" s="593"/>
      <c r="AA87" s="430" t="s">
        <v>363</v>
      </c>
      <c r="AB87" s="593"/>
      <c r="AC87" s="422" t="s">
        <v>364</v>
      </c>
      <c r="AD87" s="425" t="s">
        <v>324</v>
      </c>
      <c r="AE87" s="425" t="s">
        <v>324</v>
      </c>
      <c r="AF87" s="422" t="s">
        <v>324</v>
      </c>
      <c r="AG87" s="422" t="s">
        <v>324</v>
      </c>
      <c r="AH87" s="422" t="s">
        <v>324</v>
      </c>
      <c r="AI87" s="422" t="s">
        <v>324</v>
      </c>
      <c r="AJ87" s="422" t="s">
        <v>324</v>
      </c>
      <c r="AK87" s="422" t="s">
        <v>324</v>
      </c>
      <c r="AL87" s="422" t="s">
        <v>324</v>
      </c>
      <c r="AM87" s="422" t="s">
        <v>324</v>
      </c>
      <c r="AN87" s="422" t="s">
        <v>324</v>
      </c>
      <c r="AO87" s="425" t="s">
        <v>324</v>
      </c>
      <c r="AP87" s="443">
        <v>16</v>
      </c>
      <c r="AQ87" s="425" t="s">
        <v>324</v>
      </c>
      <c r="AR87" s="425" t="s">
        <v>324</v>
      </c>
      <c r="AS87" s="425" t="s">
        <v>324</v>
      </c>
      <c r="AT87" s="425" t="s">
        <v>324</v>
      </c>
      <c r="AU87" s="425">
        <v>20</v>
      </c>
      <c r="AV87" s="442" t="s">
        <v>362</v>
      </c>
      <c r="AW87" s="590"/>
      <c r="AX87" s="430" t="s">
        <v>363</v>
      </c>
      <c r="AY87" s="590"/>
      <c r="AZ87" s="422" t="s">
        <v>364</v>
      </c>
      <c r="BA87" s="425">
        <v>29.5</v>
      </c>
      <c r="BB87" s="425">
        <v>15.6</v>
      </c>
      <c r="BC87" s="425">
        <v>15.64</v>
      </c>
      <c r="BD87" s="464">
        <v>16.399999999999999</v>
      </c>
      <c r="BE87" s="283"/>
    </row>
    <row r="88" spans="2:58">
      <c r="B88" s="175"/>
      <c r="Y88" s="50"/>
      <c r="Z88" s="465"/>
      <c r="AA88" s="465"/>
      <c r="AB88" s="465"/>
      <c r="AX88" s="465"/>
      <c r="AY88" s="465"/>
      <c r="AZ88" s="465"/>
      <c r="BD88" s="174"/>
    </row>
    <row r="89" spans="2:58" ht="30" customHeight="1">
      <c r="B89" s="175"/>
      <c r="G89" s="3">
        <f>6/G92</f>
        <v>1440</v>
      </c>
      <c r="H89" s="3">
        <f>G89*H92</f>
        <v>8</v>
      </c>
      <c r="I89" s="3"/>
      <c r="J89" s="3"/>
      <c r="K89" s="3"/>
      <c r="L89" s="3"/>
      <c r="M89" s="3"/>
      <c r="N89" s="3"/>
      <c r="T89" s="3"/>
      <c r="U89" s="3"/>
      <c r="V89" s="3"/>
      <c r="W89" s="3"/>
      <c r="X89" s="3"/>
      <c r="Y89" s="601" t="s">
        <v>365</v>
      </c>
      <c r="Z89" s="601"/>
      <c r="AA89" s="601"/>
      <c r="AB89" s="601"/>
      <c r="AC89" s="601"/>
      <c r="AD89" s="601"/>
      <c r="AE89" s="601"/>
      <c r="AF89" s="601"/>
      <c r="AG89" s="601"/>
      <c r="AH89" s="601"/>
      <c r="AI89" s="601"/>
      <c r="AJ89" s="601"/>
      <c r="AK89" s="601"/>
      <c r="AL89" s="601"/>
      <c r="AM89" s="601"/>
      <c r="AN89" s="601"/>
      <c r="AO89" s="601"/>
      <c r="AP89" s="601"/>
      <c r="AQ89" s="601"/>
      <c r="AR89" s="601"/>
      <c r="AV89" s="3"/>
      <c r="BD89" s="174"/>
    </row>
    <row r="90" spans="2:58">
      <c r="B90" s="175"/>
      <c r="Y90" s="466"/>
      <c r="Z90" s="466"/>
      <c r="AA90" s="466"/>
      <c r="AB90" s="466"/>
      <c r="AC90" s="467"/>
      <c r="AG90" s="468"/>
      <c r="AH90" s="468"/>
      <c r="AX90" s="466"/>
      <c r="AY90" s="466"/>
      <c r="AZ90" s="466"/>
      <c r="BD90" s="174"/>
    </row>
    <row r="91" spans="2:58" ht="43.5">
      <c r="B91" s="481" t="s">
        <v>281</v>
      </c>
      <c r="C91" s="602" t="s">
        <v>282</v>
      </c>
      <c r="D91" s="603"/>
      <c r="E91" s="418" t="s">
        <v>283</v>
      </c>
      <c r="F91" s="418" t="s">
        <v>284</v>
      </c>
      <c r="G91" s="416" t="s">
        <v>285</v>
      </c>
      <c r="H91" s="416" t="s">
        <v>286</v>
      </c>
      <c r="I91" s="416" t="s">
        <v>287</v>
      </c>
      <c r="J91" s="416" t="s">
        <v>288</v>
      </c>
      <c r="K91" s="416" t="s">
        <v>289</v>
      </c>
      <c r="L91" s="416" t="s">
        <v>290</v>
      </c>
      <c r="M91" s="416" t="s">
        <v>291</v>
      </c>
      <c r="N91" s="416" t="s">
        <v>292</v>
      </c>
      <c r="O91" s="418" t="s">
        <v>281</v>
      </c>
      <c r="P91" s="602" t="s">
        <v>282</v>
      </c>
      <c r="Q91" s="603"/>
      <c r="R91" s="418" t="s">
        <v>283</v>
      </c>
      <c r="S91" s="418" t="s">
        <v>284</v>
      </c>
      <c r="T91" s="416" t="s">
        <v>293</v>
      </c>
      <c r="U91" s="416" t="s">
        <v>294</v>
      </c>
      <c r="V91" s="416" t="s">
        <v>295</v>
      </c>
      <c r="W91" s="416" t="s">
        <v>296</v>
      </c>
      <c r="X91" s="416" t="s">
        <v>297</v>
      </c>
      <c r="Y91" s="418" t="s">
        <v>281</v>
      </c>
      <c r="Z91" s="602" t="s">
        <v>282</v>
      </c>
      <c r="AA91" s="603"/>
      <c r="AB91" s="418" t="s">
        <v>283</v>
      </c>
      <c r="AC91" s="418" t="s">
        <v>284</v>
      </c>
      <c r="AD91" s="416" t="s">
        <v>298</v>
      </c>
      <c r="AE91" s="416" t="s">
        <v>299</v>
      </c>
      <c r="AF91" s="416" t="s">
        <v>300</v>
      </c>
      <c r="AG91" s="416" t="s">
        <v>301</v>
      </c>
      <c r="AH91" s="416" t="s">
        <v>302</v>
      </c>
      <c r="AI91" s="416" t="s">
        <v>303</v>
      </c>
      <c r="AJ91" s="416" t="s">
        <v>304</v>
      </c>
      <c r="AK91" s="416" t="s">
        <v>366</v>
      </c>
      <c r="AL91" s="416" t="s">
        <v>306</v>
      </c>
      <c r="AM91" s="416" t="s">
        <v>307</v>
      </c>
      <c r="AN91" s="416" t="s">
        <v>308</v>
      </c>
      <c r="AO91" s="416" t="s">
        <v>309</v>
      </c>
      <c r="AP91" s="416" t="s">
        <v>310</v>
      </c>
      <c r="AQ91" s="416" t="s">
        <v>311</v>
      </c>
      <c r="AR91" s="416" t="s">
        <v>312</v>
      </c>
      <c r="AS91" s="416" t="s">
        <v>313</v>
      </c>
      <c r="AT91" s="416" t="s">
        <v>314</v>
      </c>
      <c r="AU91" s="416" t="s">
        <v>367</v>
      </c>
      <c r="AV91" s="418" t="s">
        <v>281</v>
      </c>
      <c r="AW91" s="602" t="s">
        <v>282</v>
      </c>
      <c r="AX91" s="603"/>
      <c r="AY91" s="418" t="s">
        <v>283</v>
      </c>
      <c r="AZ91" s="418" t="s">
        <v>284</v>
      </c>
      <c r="BA91" s="444" t="s">
        <v>316</v>
      </c>
      <c r="BB91" s="444" t="s">
        <v>317</v>
      </c>
      <c r="BC91" s="444" t="s">
        <v>318</v>
      </c>
      <c r="BD91" s="469" t="s">
        <v>319</v>
      </c>
    </row>
    <row r="92" spans="2:58" ht="20.149999999999999" customHeight="1">
      <c r="B92" s="600" t="s">
        <v>368</v>
      </c>
      <c r="C92" s="594" t="s">
        <v>369</v>
      </c>
      <c r="D92" s="594"/>
      <c r="E92" s="417" t="s">
        <v>322</v>
      </c>
      <c r="F92" s="422" t="s">
        <v>370</v>
      </c>
      <c r="G92" s="445">
        <v>4.1666666666666666E-3</v>
      </c>
      <c r="H92" s="445">
        <v>5.5555555555555558E-3</v>
      </c>
      <c r="I92" s="445">
        <v>4.8611111111111112E-3</v>
      </c>
      <c r="J92" s="445">
        <v>4.1666666666666666E-3</v>
      </c>
      <c r="K92" s="445">
        <v>4.1666666666666666E-3</v>
      </c>
      <c r="L92" s="445">
        <v>3.472222222222222E-3</v>
      </c>
      <c r="M92" s="445">
        <v>3.472222222222222E-3</v>
      </c>
      <c r="N92" s="445">
        <v>4.1666666666666666E-3</v>
      </c>
      <c r="O92" s="593" t="s">
        <v>368</v>
      </c>
      <c r="P92" s="594" t="s">
        <v>369</v>
      </c>
      <c r="Q92" s="594"/>
      <c r="R92" s="417" t="s">
        <v>322</v>
      </c>
      <c r="S92" s="422" t="s">
        <v>370</v>
      </c>
      <c r="T92" s="445">
        <v>5.5555555555555558E-3</v>
      </c>
      <c r="U92" s="445">
        <v>5.5555555555555558E-3</v>
      </c>
      <c r="V92" s="445">
        <v>6.2499999999999995E-3</v>
      </c>
      <c r="W92" s="445">
        <v>4.8611111111111112E-3</v>
      </c>
      <c r="X92" s="445">
        <v>1.1111111111111112E-2</v>
      </c>
      <c r="Y92" s="593" t="s">
        <v>368</v>
      </c>
      <c r="Z92" s="594" t="s">
        <v>369</v>
      </c>
      <c r="AA92" s="594"/>
      <c r="AB92" s="417" t="s">
        <v>322</v>
      </c>
      <c r="AC92" s="422" t="s">
        <v>370</v>
      </c>
      <c r="AD92" s="445">
        <v>5.5555555555555558E-3</v>
      </c>
      <c r="AE92" s="445">
        <v>5.5555555555555558E-3</v>
      </c>
      <c r="AF92" s="445">
        <v>9.0277777777777787E-3</v>
      </c>
      <c r="AG92" s="445">
        <v>9.0277777777777787E-3</v>
      </c>
      <c r="AH92" s="445">
        <v>1.1111111111111112E-2</v>
      </c>
      <c r="AI92" s="446">
        <v>1.0416666666666666E-2</v>
      </c>
      <c r="AJ92" s="445">
        <v>1.1111111111111112E-2</v>
      </c>
      <c r="AK92" s="446">
        <v>1.3194444444444444E-2</v>
      </c>
      <c r="AL92" s="447">
        <v>1.0416666666666666E-2</v>
      </c>
      <c r="AM92" s="447">
        <v>9.0277777777777787E-3</v>
      </c>
      <c r="AN92" s="446">
        <v>8.3333333333333332E-3</v>
      </c>
      <c r="AO92" s="429" t="s">
        <v>371</v>
      </c>
      <c r="AP92" s="447">
        <v>1.0416666666666666E-2</v>
      </c>
      <c r="AQ92" s="446">
        <v>1.4583333333333332E-2</v>
      </c>
      <c r="AR92" s="446">
        <v>2.361111111111111E-2</v>
      </c>
      <c r="AS92" s="446">
        <v>1.8055555555555557E-2</v>
      </c>
      <c r="AT92" s="448">
        <v>4.7916666666666663E-2</v>
      </c>
      <c r="AU92" s="446">
        <v>2.0833333333333332E-2</v>
      </c>
      <c r="AV92" s="593" t="s">
        <v>368</v>
      </c>
      <c r="AW92" s="594" t="s">
        <v>369</v>
      </c>
      <c r="AX92" s="594"/>
      <c r="AY92" s="417" t="s">
        <v>322</v>
      </c>
      <c r="AZ92" s="449" t="s">
        <v>370</v>
      </c>
      <c r="BA92" s="447">
        <v>2.1527777777777781E-2</v>
      </c>
      <c r="BB92" s="447">
        <v>9.7222222222222224E-3</v>
      </c>
      <c r="BC92" s="447">
        <v>1.3194444444444444E-2</v>
      </c>
      <c r="BD92" s="470">
        <v>5.5555555555555558E-3</v>
      </c>
      <c r="BE92" s="283"/>
    </row>
    <row r="93" spans="2:58" ht="21.75" customHeight="1">
      <c r="B93" s="600"/>
      <c r="C93" s="594"/>
      <c r="D93" s="594"/>
      <c r="E93" s="450" t="s">
        <v>372</v>
      </c>
      <c r="F93" s="441" t="s">
        <v>373</v>
      </c>
      <c r="G93" s="441" t="s">
        <v>374</v>
      </c>
      <c r="H93" s="441" t="s">
        <v>374</v>
      </c>
      <c r="I93" s="441" t="s">
        <v>374</v>
      </c>
      <c r="J93" s="441" t="s">
        <v>374</v>
      </c>
      <c r="K93" s="441" t="s">
        <v>374</v>
      </c>
      <c r="L93" s="441" t="s">
        <v>374</v>
      </c>
      <c r="M93" s="441" t="s">
        <v>374</v>
      </c>
      <c r="N93" s="441" t="s">
        <v>374</v>
      </c>
      <c r="O93" s="593"/>
      <c r="P93" s="594"/>
      <c r="Q93" s="594"/>
      <c r="R93" s="450" t="s">
        <v>372</v>
      </c>
      <c r="S93" s="441" t="s">
        <v>373</v>
      </c>
      <c r="T93" s="441" t="s">
        <v>374</v>
      </c>
      <c r="U93" s="441" t="s">
        <v>374</v>
      </c>
      <c r="V93" s="441" t="s">
        <v>374</v>
      </c>
      <c r="W93" s="441" t="s">
        <v>374</v>
      </c>
      <c r="X93" s="441" t="s">
        <v>374</v>
      </c>
      <c r="Y93" s="593"/>
      <c r="Z93" s="594"/>
      <c r="AA93" s="594"/>
      <c r="AB93" s="417" t="s">
        <v>372</v>
      </c>
      <c r="AC93" s="441" t="s">
        <v>373</v>
      </c>
      <c r="AD93" s="441" t="s">
        <v>374</v>
      </c>
      <c r="AE93" s="441" t="s">
        <v>374</v>
      </c>
      <c r="AF93" s="441" t="s">
        <v>374</v>
      </c>
      <c r="AG93" s="441" t="s">
        <v>374</v>
      </c>
      <c r="AH93" s="451" t="s">
        <v>374</v>
      </c>
      <c r="AI93" s="451" t="s">
        <v>374</v>
      </c>
      <c r="AJ93" s="451" t="s">
        <v>374</v>
      </c>
      <c r="AK93" s="451" t="s">
        <v>374</v>
      </c>
      <c r="AL93" s="451" t="s">
        <v>374</v>
      </c>
      <c r="AM93" s="451" t="s">
        <v>374</v>
      </c>
      <c r="AN93" s="451" t="s">
        <v>374</v>
      </c>
      <c r="AO93" s="451" t="s">
        <v>374</v>
      </c>
      <c r="AP93" s="452" t="s">
        <v>374</v>
      </c>
      <c r="AQ93" s="453" t="s">
        <v>375</v>
      </c>
      <c r="AR93" s="453" t="s">
        <v>376</v>
      </c>
      <c r="AS93" s="453" t="s">
        <v>376</v>
      </c>
      <c r="AT93" s="453" t="s">
        <v>376</v>
      </c>
      <c r="AU93" s="453" t="s">
        <v>376</v>
      </c>
      <c r="AV93" s="593"/>
      <c r="AW93" s="594"/>
      <c r="AX93" s="594"/>
      <c r="AY93" s="450" t="s">
        <v>372</v>
      </c>
      <c r="AZ93" s="454" t="s">
        <v>373</v>
      </c>
      <c r="BA93" s="455" t="s">
        <v>376</v>
      </c>
      <c r="BB93" s="456" t="s">
        <v>374</v>
      </c>
      <c r="BC93" s="456" t="s">
        <v>374</v>
      </c>
      <c r="BD93" s="471" t="s">
        <v>374</v>
      </c>
    </row>
    <row r="94" spans="2:58" ht="20.149999999999999" customHeight="1">
      <c r="B94" s="600" t="s">
        <v>377</v>
      </c>
      <c r="C94" s="594" t="s">
        <v>378</v>
      </c>
      <c r="D94" s="594"/>
      <c r="E94" s="417" t="s">
        <v>322</v>
      </c>
      <c r="F94" s="422" t="s">
        <v>370</v>
      </c>
      <c r="G94" s="445">
        <v>9.7222222222222224E-3</v>
      </c>
      <c r="H94" s="445">
        <v>5.5555555555555558E-3</v>
      </c>
      <c r="I94" s="445">
        <v>1.2499999999999999E-2</v>
      </c>
      <c r="J94" s="445">
        <v>5.5555555555555558E-3</v>
      </c>
      <c r="K94" s="445">
        <v>1.1805555555555555E-2</v>
      </c>
      <c r="L94" s="445">
        <v>1.1805555555555555E-2</v>
      </c>
      <c r="M94" s="445">
        <v>6.9444444444444441E-3</v>
      </c>
      <c r="N94" s="445">
        <v>9.0277777777777787E-3</v>
      </c>
      <c r="O94" s="593" t="s">
        <v>377</v>
      </c>
      <c r="P94" s="594" t="s">
        <v>378</v>
      </c>
      <c r="Q94" s="594"/>
      <c r="R94" s="417" t="s">
        <v>322</v>
      </c>
      <c r="S94" s="422" t="s">
        <v>370</v>
      </c>
      <c r="T94" s="445">
        <v>7.6388888888888886E-3</v>
      </c>
      <c r="U94" s="445">
        <v>7.6388888888888886E-3</v>
      </c>
      <c r="V94" s="445">
        <v>7.6388888888888886E-3</v>
      </c>
      <c r="W94" s="445">
        <v>9.0277777777777787E-3</v>
      </c>
      <c r="X94" s="445">
        <v>8.3333333333333332E-3</v>
      </c>
      <c r="Y94" s="593" t="s">
        <v>377</v>
      </c>
      <c r="Z94" s="594" t="s">
        <v>378</v>
      </c>
      <c r="AA94" s="594"/>
      <c r="AB94" s="417" t="s">
        <v>322</v>
      </c>
      <c r="AC94" s="422" t="s">
        <v>370</v>
      </c>
      <c r="AD94" s="445">
        <v>7.6388888888888886E-3</v>
      </c>
      <c r="AE94" s="445">
        <v>8.3333333333333332E-3</v>
      </c>
      <c r="AF94" s="445">
        <v>7.6388888888888886E-3</v>
      </c>
      <c r="AG94" s="457">
        <v>7.6388888888888886E-3</v>
      </c>
      <c r="AH94" s="447">
        <v>6.9444444444444441E-3</v>
      </c>
      <c r="AI94" s="457">
        <v>7.6388888888888886E-3</v>
      </c>
      <c r="AJ94" s="457">
        <v>7.6388888888888886E-3</v>
      </c>
      <c r="AK94" s="447">
        <v>1.0416666666666666E-2</v>
      </c>
      <c r="AL94" s="457">
        <v>7.6388888888888886E-3</v>
      </c>
      <c r="AM94" s="447">
        <v>9.7222222222222224E-3</v>
      </c>
      <c r="AN94" s="446">
        <v>8.3333333333333332E-3</v>
      </c>
      <c r="AO94" s="447">
        <v>9.0277777777777787E-3</v>
      </c>
      <c r="AP94" s="447">
        <v>8.3333333333333332E-3</v>
      </c>
      <c r="AQ94" s="447">
        <v>9.7222222222222224E-3</v>
      </c>
      <c r="AR94" s="447">
        <v>8.3333333333333332E-3</v>
      </c>
      <c r="AS94" s="447">
        <v>9.0277777777777787E-3</v>
      </c>
      <c r="AT94" s="447">
        <v>1.0416666666666666E-2</v>
      </c>
      <c r="AU94" s="447">
        <v>9.7222222222222224E-3</v>
      </c>
      <c r="AV94" s="587" t="s">
        <v>377</v>
      </c>
      <c r="AW94" s="594" t="s">
        <v>378</v>
      </c>
      <c r="AX94" s="594"/>
      <c r="AY94" s="417" t="s">
        <v>322</v>
      </c>
      <c r="AZ94" s="449" t="s">
        <v>370</v>
      </c>
      <c r="BA94" s="447">
        <v>9.7222222222222224E-3</v>
      </c>
      <c r="BB94" s="447">
        <v>1.1111111111111112E-2</v>
      </c>
      <c r="BC94" s="447">
        <v>1.3194444444444444E-2</v>
      </c>
      <c r="BD94" s="470">
        <v>1.0416666666666666E-2</v>
      </c>
      <c r="BE94" s="283"/>
      <c r="BF94" s="105"/>
    </row>
    <row r="95" spans="2:58" ht="20.149999999999999" customHeight="1">
      <c r="B95" s="600"/>
      <c r="C95" s="594"/>
      <c r="D95" s="594"/>
      <c r="E95" s="450" t="s">
        <v>372</v>
      </c>
      <c r="F95" s="441" t="s">
        <v>373</v>
      </c>
      <c r="G95" s="441" t="s">
        <v>374</v>
      </c>
      <c r="H95" s="441" t="s">
        <v>374</v>
      </c>
      <c r="I95" s="441" t="s">
        <v>374</v>
      </c>
      <c r="J95" s="441" t="s">
        <v>374</v>
      </c>
      <c r="K95" s="441" t="s">
        <v>374</v>
      </c>
      <c r="L95" s="441" t="s">
        <v>374</v>
      </c>
      <c r="M95" s="441" t="s">
        <v>374</v>
      </c>
      <c r="N95" s="441" t="s">
        <v>374</v>
      </c>
      <c r="O95" s="593"/>
      <c r="P95" s="594"/>
      <c r="Q95" s="594"/>
      <c r="R95" s="450" t="s">
        <v>372</v>
      </c>
      <c r="S95" s="441" t="s">
        <v>373</v>
      </c>
      <c r="T95" s="441" t="s">
        <v>374</v>
      </c>
      <c r="U95" s="441" t="s">
        <v>374</v>
      </c>
      <c r="V95" s="441" t="s">
        <v>374</v>
      </c>
      <c r="W95" s="441" t="s">
        <v>374</v>
      </c>
      <c r="X95" s="441" t="s">
        <v>374</v>
      </c>
      <c r="Y95" s="593"/>
      <c r="Z95" s="594"/>
      <c r="AA95" s="594"/>
      <c r="AB95" s="417" t="s">
        <v>372</v>
      </c>
      <c r="AC95" s="441" t="s">
        <v>373</v>
      </c>
      <c r="AD95" s="441" t="s">
        <v>374</v>
      </c>
      <c r="AE95" s="441" t="s">
        <v>374</v>
      </c>
      <c r="AF95" s="441" t="s">
        <v>374</v>
      </c>
      <c r="AG95" s="441" t="s">
        <v>374</v>
      </c>
      <c r="AH95" s="451" t="s">
        <v>374</v>
      </c>
      <c r="AI95" s="451" t="s">
        <v>374</v>
      </c>
      <c r="AJ95" s="451" t="s">
        <v>374</v>
      </c>
      <c r="AK95" s="451" t="s">
        <v>374</v>
      </c>
      <c r="AL95" s="451" t="s">
        <v>374</v>
      </c>
      <c r="AM95" s="451" t="s">
        <v>374</v>
      </c>
      <c r="AN95" s="451" t="s">
        <v>374</v>
      </c>
      <c r="AO95" s="451" t="s">
        <v>374</v>
      </c>
      <c r="AP95" s="452" t="s">
        <v>374</v>
      </c>
      <c r="AQ95" s="453" t="s">
        <v>374</v>
      </c>
      <c r="AR95" s="453" t="s">
        <v>374</v>
      </c>
      <c r="AS95" s="453" t="s">
        <v>374</v>
      </c>
      <c r="AT95" s="453" t="s">
        <v>374</v>
      </c>
      <c r="AU95" s="453" t="s">
        <v>374</v>
      </c>
      <c r="AV95" s="587"/>
      <c r="AW95" s="594"/>
      <c r="AX95" s="594"/>
      <c r="AY95" s="450" t="s">
        <v>372</v>
      </c>
      <c r="AZ95" s="454" t="s">
        <v>373</v>
      </c>
      <c r="BA95" s="455" t="s">
        <v>379</v>
      </c>
      <c r="BB95" s="456" t="s">
        <v>374</v>
      </c>
      <c r="BC95" s="456" t="s">
        <v>374</v>
      </c>
      <c r="BD95" s="471" t="s">
        <v>374</v>
      </c>
    </row>
    <row r="96" spans="2:58" ht="20.149999999999999" customHeight="1">
      <c r="B96" s="600" t="s">
        <v>380</v>
      </c>
      <c r="C96" s="594" t="s">
        <v>381</v>
      </c>
      <c r="D96" s="594"/>
      <c r="E96" s="417" t="s">
        <v>322</v>
      </c>
      <c r="F96" s="422" t="s">
        <v>373</v>
      </c>
      <c r="G96" s="446">
        <v>1.8055555555555557E-2</v>
      </c>
      <c r="H96" s="445">
        <v>1.7361111111111112E-2</v>
      </c>
      <c r="I96" s="445">
        <v>1.6666666666666666E-2</v>
      </c>
      <c r="J96" s="445">
        <v>2.013888888888889E-2</v>
      </c>
      <c r="K96" s="445">
        <v>2.5694444444444447E-2</v>
      </c>
      <c r="L96" s="445">
        <v>1.152034066749867E-2</v>
      </c>
      <c r="M96" s="445">
        <v>2.013888888888889E-2</v>
      </c>
      <c r="N96" s="445">
        <v>5.9722222222222225E-3</v>
      </c>
      <c r="O96" s="593" t="s">
        <v>380</v>
      </c>
      <c r="P96" s="594" t="s">
        <v>381</v>
      </c>
      <c r="Q96" s="594"/>
      <c r="R96" s="417" t="s">
        <v>322</v>
      </c>
      <c r="S96" s="422" t="s">
        <v>373</v>
      </c>
      <c r="T96" s="445">
        <v>1.4313390213920233E-2</v>
      </c>
      <c r="U96" s="445">
        <v>1.2190467419775614E-2</v>
      </c>
      <c r="V96" s="445">
        <v>1.5694444444444445E-2</v>
      </c>
      <c r="W96" s="445">
        <v>1.2800968668428668E-2</v>
      </c>
      <c r="X96" s="445">
        <v>1.087962962962963E-2</v>
      </c>
      <c r="Y96" s="593" t="s">
        <v>380</v>
      </c>
      <c r="Z96" s="594" t="s">
        <v>381</v>
      </c>
      <c r="AA96" s="594"/>
      <c r="AB96" s="417" t="s">
        <v>322</v>
      </c>
      <c r="AC96" s="422" t="s">
        <v>373</v>
      </c>
      <c r="AD96" s="445">
        <v>1.105324074074074E-2</v>
      </c>
      <c r="AE96" s="445">
        <v>1.8587962962962962E-2</v>
      </c>
      <c r="AF96" s="446">
        <v>1.5069444444444443E-2</v>
      </c>
      <c r="AG96" s="458">
        <v>1.1111111111111112E-2</v>
      </c>
      <c r="AH96" s="458">
        <v>1.1111111111111112E-2</v>
      </c>
      <c r="AI96" s="447">
        <v>1.1805555555555555E-2</v>
      </c>
      <c r="AJ96" s="447">
        <v>1.1805555555555555E-2</v>
      </c>
      <c r="AK96" s="447">
        <v>1.0416666666666666E-2</v>
      </c>
      <c r="AL96" s="447">
        <v>9.7222222222222224E-3</v>
      </c>
      <c r="AM96" s="457">
        <v>7.6388888888888886E-3</v>
      </c>
      <c r="AN96" s="447">
        <v>9.7222222222222224E-3</v>
      </c>
      <c r="AO96" s="447">
        <v>1.0416666666666666E-2</v>
      </c>
      <c r="AP96" s="447">
        <v>1.0416666666666666E-2</v>
      </c>
      <c r="AQ96" s="447">
        <v>9.7222222222222224E-3</v>
      </c>
      <c r="AR96" s="447">
        <v>1.1111111111111112E-2</v>
      </c>
      <c r="AS96" s="447">
        <v>1.1111111111111112E-2</v>
      </c>
      <c r="AT96" s="447">
        <v>1.0416666666666666E-2</v>
      </c>
      <c r="AU96" s="447">
        <v>1.0416666666666666E-2</v>
      </c>
      <c r="AV96" s="587" t="s">
        <v>380</v>
      </c>
      <c r="AW96" s="594" t="s">
        <v>381</v>
      </c>
      <c r="AX96" s="594"/>
      <c r="AY96" s="417" t="s">
        <v>322</v>
      </c>
      <c r="AZ96" s="449" t="s">
        <v>373</v>
      </c>
      <c r="BA96" s="447">
        <v>9.0277777777777787E-3</v>
      </c>
      <c r="BB96" s="447">
        <v>7.6388888888888886E-3</v>
      </c>
      <c r="BC96" s="447">
        <v>7.6388888888888886E-3</v>
      </c>
      <c r="BD96" s="470">
        <v>9.0277777777777787E-3</v>
      </c>
      <c r="BE96" s="283"/>
    </row>
    <row r="97" spans="2:57" ht="20.149999999999999" customHeight="1">
      <c r="B97" s="600"/>
      <c r="C97" s="594"/>
      <c r="D97" s="594"/>
      <c r="E97" s="450" t="s">
        <v>372</v>
      </c>
      <c r="F97" s="441" t="s">
        <v>373</v>
      </c>
      <c r="G97" s="441" t="s">
        <v>374</v>
      </c>
      <c r="H97" s="441" t="s">
        <v>374</v>
      </c>
      <c r="I97" s="441" t="s">
        <v>374</v>
      </c>
      <c r="J97" s="441" t="s">
        <v>374</v>
      </c>
      <c r="K97" s="441" t="s">
        <v>375</v>
      </c>
      <c r="L97" s="441" t="s">
        <v>374</v>
      </c>
      <c r="M97" s="441" t="s">
        <v>374</v>
      </c>
      <c r="N97" s="441" t="s">
        <v>374</v>
      </c>
      <c r="O97" s="593"/>
      <c r="P97" s="594"/>
      <c r="Q97" s="594"/>
      <c r="R97" s="450" t="s">
        <v>372</v>
      </c>
      <c r="S97" s="441" t="s">
        <v>373</v>
      </c>
      <c r="T97" s="441" t="s">
        <v>374</v>
      </c>
      <c r="U97" s="441" t="s">
        <v>374</v>
      </c>
      <c r="V97" s="441" t="s">
        <v>374</v>
      </c>
      <c r="W97" s="441" t="s">
        <v>374</v>
      </c>
      <c r="X97" s="441" t="s">
        <v>374</v>
      </c>
      <c r="Y97" s="593"/>
      <c r="Z97" s="594"/>
      <c r="AA97" s="594"/>
      <c r="AB97" s="417" t="s">
        <v>372</v>
      </c>
      <c r="AC97" s="441" t="s">
        <v>373</v>
      </c>
      <c r="AD97" s="441" t="s">
        <v>374</v>
      </c>
      <c r="AE97" s="441" t="s">
        <v>374</v>
      </c>
      <c r="AF97" s="441" t="s">
        <v>374</v>
      </c>
      <c r="AG97" s="441" t="s">
        <v>374</v>
      </c>
      <c r="AH97" s="451" t="s">
        <v>374</v>
      </c>
      <c r="AI97" s="451" t="s">
        <v>374</v>
      </c>
      <c r="AJ97" s="451" t="s">
        <v>374</v>
      </c>
      <c r="AK97" s="451" t="s">
        <v>374</v>
      </c>
      <c r="AL97" s="451" t="s">
        <v>374</v>
      </c>
      <c r="AM97" s="451" t="s">
        <v>374</v>
      </c>
      <c r="AN97" s="451" t="s">
        <v>374</v>
      </c>
      <c r="AO97" s="451" t="s">
        <v>374</v>
      </c>
      <c r="AP97" s="452" t="s">
        <v>374</v>
      </c>
      <c r="AQ97" s="453" t="s">
        <v>374</v>
      </c>
      <c r="AR97" s="453" t="s">
        <v>374</v>
      </c>
      <c r="AS97" s="453" t="s">
        <v>374</v>
      </c>
      <c r="AT97" s="453" t="s">
        <v>374</v>
      </c>
      <c r="AU97" s="453" t="s">
        <v>374</v>
      </c>
      <c r="AV97" s="587"/>
      <c r="AW97" s="594"/>
      <c r="AX97" s="594"/>
      <c r="AY97" s="450" t="s">
        <v>372</v>
      </c>
      <c r="AZ97" s="454" t="s">
        <v>373</v>
      </c>
      <c r="BA97" s="455" t="s">
        <v>374</v>
      </c>
      <c r="BB97" s="456" t="s">
        <v>374</v>
      </c>
      <c r="BC97" s="456" t="s">
        <v>374</v>
      </c>
      <c r="BD97" s="471" t="s">
        <v>374</v>
      </c>
    </row>
    <row r="98" spans="2:57" ht="20.149999999999999" customHeight="1">
      <c r="B98" s="600" t="s">
        <v>382</v>
      </c>
      <c r="C98" s="594" t="s">
        <v>383</v>
      </c>
      <c r="D98" s="594"/>
      <c r="E98" s="417" t="s">
        <v>322</v>
      </c>
      <c r="F98" s="422" t="s">
        <v>370</v>
      </c>
      <c r="G98" s="421" t="s">
        <v>324</v>
      </c>
      <c r="H98" s="445">
        <v>1.2499999999999999E-2</v>
      </c>
      <c r="I98" s="445">
        <v>9.7222222222222224E-3</v>
      </c>
      <c r="J98" s="445">
        <v>9.7222222222222224E-3</v>
      </c>
      <c r="K98" s="417" t="s">
        <v>324</v>
      </c>
      <c r="L98" s="445">
        <v>7.1643518518518514E-3</v>
      </c>
      <c r="M98" s="445">
        <v>1.1805555555555555E-2</v>
      </c>
      <c r="N98" s="445">
        <v>1.0833333333333334E-2</v>
      </c>
      <c r="O98" s="593" t="s">
        <v>382</v>
      </c>
      <c r="P98" s="594" t="s">
        <v>383</v>
      </c>
      <c r="Q98" s="594"/>
      <c r="R98" s="417" t="s">
        <v>322</v>
      </c>
      <c r="S98" s="422" t="s">
        <v>370</v>
      </c>
      <c r="T98" s="445">
        <v>1.0172413793241348E-2</v>
      </c>
      <c r="U98" s="445">
        <v>7.0515919049410963E-3</v>
      </c>
      <c r="V98" s="445">
        <v>6.5775553383150736E-3</v>
      </c>
      <c r="W98" s="445">
        <v>7.1918808411892687E-3</v>
      </c>
      <c r="X98" s="445">
        <v>7.1918808411892687E-3</v>
      </c>
      <c r="Y98" s="593" t="s">
        <v>382</v>
      </c>
      <c r="Z98" s="594" t="s">
        <v>383</v>
      </c>
      <c r="AA98" s="594"/>
      <c r="AB98" s="417" t="s">
        <v>322</v>
      </c>
      <c r="AC98" s="422" t="s">
        <v>370</v>
      </c>
      <c r="AD98" s="417" t="s">
        <v>324</v>
      </c>
      <c r="AE98" s="445">
        <v>6.944444446546516E-3</v>
      </c>
      <c r="AF98" s="417" t="s">
        <v>324</v>
      </c>
      <c r="AG98" s="426" t="s">
        <v>324</v>
      </c>
      <c r="AH98" s="447">
        <v>6.9444444444444441E-3</v>
      </c>
      <c r="AI98" s="447">
        <v>9.0277777777777787E-3</v>
      </c>
      <c r="AJ98" s="447">
        <v>8.3333333333333332E-3</v>
      </c>
      <c r="AK98" s="447">
        <v>7.6388888888888886E-3</v>
      </c>
      <c r="AL98" s="447">
        <v>9.0277777777777787E-3</v>
      </c>
      <c r="AM98" s="447">
        <v>9.0277777777777787E-3</v>
      </c>
      <c r="AN98" s="447">
        <v>1.0416666666666666E-2</v>
      </c>
      <c r="AO98" s="447">
        <v>7.6388888888888886E-3</v>
      </c>
      <c r="AP98" s="447">
        <v>9.7222222222222224E-3</v>
      </c>
      <c r="AQ98" s="447">
        <v>8.3333333333333332E-3</v>
      </c>
      <c r="AR98" s="447">
        <v>9.0277777777777787E-3</v>
      </c>
      <c r="AS98" s="447">
        <v>1.2499999999999999E-2</v>
      </c>
      <c r="AT98" s="447">
        <v>9.0277777777777787E-3</v>
      </c>
      <c r="AU98" s="447">
        <v>9.0277777777777787E-3</v>
      </c>
      <c r="AV98" s="587" t="s">
        <v>382</v>
      </c>
      <c r="AW98" s="594" t="s">
        <v>383</v>
      </c>
      <c r="AX98" s="594"/>
      <c r="AY98" s="417" t="s">
        <v>322</v>
      </c>
      <c r="AZ98" s="449" t="s">
        <v>370</v>
      </c>
      <c r="BA98" s="447">
        <v>9.7222222222222224E-3</v>
      </c>
      <c r="BB98" s="459" t="s">
        <v>324</v>
      </c>
      <c r="BC98" s="447">
        <v>9.7222222222222224E-3</v>
      </c>
      <c r="BD98" s="470">
        <v>1.3194444444444444E-2</v>
      </c>
      <c r="BE98" s="283"/>
    </row>
    <row r="99" spans="2:57" ht="20.149999999999999" customHeight="1">
      <c r="B99" s="600"/>
      <c r="C99" s="594"/>
      <c r="D99" s="594"/>
      <c r="E99" s="450" t="s">
        <v>372</v>
      </c>
      <c r="F99" s="441" t="s">
        <v>373</v>
      </c>
      <c r="G99" s="441" t="s">
        <v>324</v>
      </c>
      <c r="H99" s="441" t="s">
        <v>374</v>
      </c>
      <c r="I99" s="441" t="s">
        <v>374</v>
      </c>
      <c r="J99" s="441" t="s">
        <v>374</v>
      </c>
      <c r="K99" s="441" t="s">
        <v>324</v>
      </c>
      <c r="L99" s="441" t="s">
        <v>374</v>
      </c>
      <c r="M99" s="441" t="s">
        <v>374</v>
      </c>
      <c r="N99" s="441" t="s">
        <v>374</v>
      </c>
      <c r="O99" s="593"/>
      <c r="P99" s="594"/>
      <c r="Q99" s="594"/>
      <c r="R99" s="450" t="s">
        <v>372</v>
      </c>
      <c r="S99" s="441" t="s">
        <v>373</v>
      </c>
      <c r="T99" s="441" t="s">
        <v>374</v>
      </c>
      <c r="U99" s="441" t="s">
        <v>374</v>
      </c>
      <c r="V99" s="441" t="s">
        <v>374</v>
      </c>
      <c r="W99" s="441" t="s">
        <v>374</v>
      </c>
      <c r="X99" s="441" t="s">
        <v>374</v>
      </c>
      <c r="Y99" s="593"/>
      <c r="Z99" s="594"/>
      <c r="AA99" s="594"/>
      <c r="AB99" s="417" t="s">
        <v>372</v>
      </c>
      <c r="AC99" s="441" t="s">
        <v>373</v>
      </c>
      <c r="AD99" s="441" t="s">
        <v>324</v>
      </c>
      <c r="AE99" s="441" t="s">
        <v>374</v>
      </c>
      <c r="AF99" s="441" t="s">
        <v>324</v>
      </c>
      <c r="AG99" s="441" t="s">
        <v>324</v>
      </c>
      <c r="AH99" s="451" t="s">
        <v>384</v>
      </c>
      <c r="AI99" s="451" t="s">
        <v>384</v>
      </c>
      <c r="AJ99" s="451" t="s">
        <v>384</v>
      </c>
      <c r="AK99" s="451" t="s">
        <v>384</v>
      </c>
      <c r="AL99" s="451" t="s">
        <v>384</v>
      </c>
      <c r="AM99" s="451" t="s">
        <v>384</v>
      </c>
      <c r="AN99" s="451" t="s">
        <v>384</v>
      </c>
      <c r="AO99" s="451" t="s">
        <v>384</v>
      </c>
      <c r="AP99" s="452" t="s">
        <v>384</v>
      </c>
      <c r="AQ99" s="453" t="s">
        <v>384</v>
      </c>
      <c r="AR99" s="453" t="s">
        <v>374</v>
      </c>
      <c r="AS99" s="453" t="s">
        <v>374</v>
      </c>
      <c r="AT99" s="453" t="s">
        <v>374</v>
      </c>
      <c r="AU99" s="453" t="s">
        <v>374</v>
      </c>
      <c r="AV99" s="587"/>
      <c r="AW99" s="594"/>
      <c r="AX99" s="594"/>
      <c r="AY99" s="450" t="s">
        <v>372</v>
      </c>
      <c r="AZ99" s="454" t="s">
        <v>373</v>
      </c>
      <c r="BA99" s="455" t="s">
        <v>374</v>
      </c>
      <c r="BB99" s="456" t="s">
        <v>324</v>
      </c>
      <c r="BC99" s="456" t="s">
        <v>374</v>
      </c>
      <c r="BD99" s="471" t="s">
        <v>374</v>
      </c>
    </row>
    <row r="100" spans="2:57" ht="20.149999999999999" customHeight="1">
      <c r="B100" s="600" t="s">
        <v>385</v>
      </c>
      <c r="C100" s="594" t="s">
        <v>386</v>
      </c>
      <c r="D100" s="594"/>
      <c r="E100" s="417" t="s">
        <v>322</v>
      </c>
      <c r="F100" s="422" t="s">
        <v>370</v>
      </c>
      <c r="G100" s="421" t="s">
        <v>324</v>
      </c>
      <c r="H100" s="445">
        <v>1.5277777777777777E-2</v>
      </c>
      <c r="I100" s="445">
        <v>1.3888888888888888E-2</v>
      </c>
      <c r="J100" s="445">
        <v>1.3194444444444444E-2</v>
      </c>
      <c r="K100" s="417" t="s">
        <v>324</v>
      </c>
      <c r="L100" s="445">
        <v>6.5389836427577211E-3</v>
      </c>
      <c r="M100" s="445">
        <v>2.6388888888888889E-2</v>
      </c>
      <c r="N100" s="445">
        <v>7.9976851851851858E-3</v>
      </c>
      <c r="O100" s="593" t="s">
        <v>385</v>
      </c>
      <c r="P100" s="594" t="s">
        <v>386</v>
      </c>
      <c r="Q100" s="594"/>
      <c r="R100" s="417" t="s">
        <v>322</v>
      </c>
      <c r="S100" s="422" t="s">
        <v>370</v>
      </c>
      <c r="T100" s="445">
        <v>1.4667462065747216E-2</v>
      </c>
      <c r="U100" s="445">
        <v>8.8348303392783521E-3</v>
      </c>
      <c r="V100" s="445">
        <v>6.5775553383150736E-3</v>
      </c>
      <c r="W100" s="445">
        <v>1.6666666663594565E-2</v>
      </c>
      <c r="X100" s="445">
        <v>6.8171296296296287E-3</v>
      </c>
      <c r="Y100" s="593" t="s">
        <v>385</v>
      </c>
      <c r="Z100" s="594" t="s">
        <v>386</v>
      </c>
      <c r="AA100" s="594"/>
      <c r="AB100" s="417" t="s">
        <v>322</v>
      </c>
      <c r="AC100" s="422" t="s">
        <v>370</v>
      </c>
      <c r="AD100" s="417" t="s">
        <v>324</v>
      </c>
      <c r="AE100" s="417" t="s">
        <v>324</v>
      </c>
      <c r="AF100" s="417" t="s">
        <v>324</v>
      </c>
      <c r="AG100" s="426" t="s">
        <v>324</v>
      </c>
      <c r="AH100" s="447">
        <v>6.2499999999999995E-3</v>
      </c>
      <c r="AI100" s="447">
        <v>4.8611111111111112E-3</v>
      </c>
      <c r="AJ100" s="447">
        <v>6.9444444444444441E-3</v>
      </c>
      <c r="AK100" s="447">
        <v>6.2499999999999995E-3</v>
      </c>
      <c r="AL100" s="447">
        <v>6.9444444444444441E-3</v>
      </c>
      <c r="AM100" s="457">
        <v>7.6388888888888886E-3</v>
      </c>
      <c r="AN100" s="447">
        <v>6.9444444444444441E-3</v>
      </c>
      <c r="AO100" s="447">
        <v>6.2499999999999995E-3</v>
      </c>
      <c r="AP100" s="447">
        <v>6.2499999999999995E-3</v>
      </c>
      <c r="AQ100" s="447">
        <v>4.8611111111111112E-3</v>
      </c>
      <c r="AR100" s="447">
        <v>7.6388888888888886E-3</v>
      </c>
      <c r="AS100" s="447">
        <v>9.0277777777777787E-3</v>
      </c>
      <c r="AT100" s="447">
        <v>1.3888888888888888E-2</v>
      </c>
      <c r="AU100" s="447">
        <v>9.7222222222222224E-3</v>
      </c>
      <c r="AV100" s="587" t="s">
        <v>385</v>
      </c>
      <c r="AW100" s="594" t="s">
        <v>386</v>
      </c>
      <c r="AX100" s="594"/>
      <c r="AY100" s="417" t="s">
        <v>322</v>
      </c>
      <c r="AZ100" s="449" t="s">
        <v>370</v>
      </c>
      <c r="BA100" s="447">
        <v>1.3888888888888888E-2</v>
      </c>
      <c r="BB100" s="447">
        <v>1.0416666666666666E-2</v>
      </c>
      <c r="BC100" s="447">
        <v>1.4583333333333332E-2</v>
      </c>
      <c r="BD100" s="470">
        <v>1.6666666666666666E-2</v>
      </c>
      <c r="BE100" s="283"/>
    </row>
    <row r="101" spans="2:57" ht="20.149999999999999" customHeight="1">
      <c r="B101" s="600"/>
      <c r="C101" s="594"/>
      <c r="D101" s="594"/>
      <c r="E101" s="450" t="s">
        <v>372</v>
      </c>
      <c r="F101" s="441" t="s">
        <v>373</v>
      </c>
      <c r="G101" s="441" t="s">
        <v>324</v>
      </c>
      <c r="H101" s="441" t="s">
        <v>375</v>
      </c>
      <c r="I101" s="441" t="s">
        <v>374</v>
      </c>
      <c r="J101" s="441" t="s">
        <v>374</v>
      </c>
      <c r="K101" s="441" t="s">
        <v>324</v>
      </c>
      <c r="L101" s="441" t="s">
        <v>374</v>
      </c>
      <c r="M101" s="441" t="s">
        <v>375</v>
      </c>
      <c r="N101" s="441" t="s">
        <v>374</v>
      </c>
      <c r="O101" s="593"/>
      <c r="P101" s="594"/>
      <c r="Q101" s="594"/>
      <c r="R101" s="450" t="s">
        <v>372</v>
      </c>
      <c r="S101" s="441" t="s">
        <v>373</v>
      </c>
      <c r="T101" s="441" t="s">
        <v>375</v>
      </c>
      <c r="U101" s="441" t="s">
        <v>374</v>
      </c>
      <c r="V101" s="441" t="s">
        <v>374</v>
      </c>
      <c r="W101" s="441" t="s">
        <v>375</v>
      </c>
      <c r="X101" s="441" t="s">
        <v>374</v>
      </c>
      <c r="Y101" s="593"/>
      <c r="Z101" s="594"/>
      <c r="AA101" s="594"/>
      <c r="AB101" s="417" t="s">
        <v>372</v>
      </c>
      <c r="AC101" s="441" t="s">
        <v>373</v>
      </c>
      <c r="AD101" s="441" t="s">
        <v>324</v>
      </c>
      <c r="AE101" s="441" t="s">
        <v>324</v>
      </c>
      <c r="AF101" s="441" t="s">
        <v>324</v>
      </c>
      <c r="AG101" s="441" t="s">
        <v>324</v>
      </c>
      <c r="AH101" s="451" t="s">
        <v>374</v>
      </c>
      <c r="AI101" s="451" t="s">
        <v>374</v>
      </c>
      <c r="AJ101" s="451" t="s">
        <v>374</v>
      </c>
      <c r="AK101" s="451" t="s">
        <v>374</v>
      </c>
      <c r="AL101" s="451" t="s">
        <v>374</v>
      </c>
      <c r="AM101" s="451" t="s">
        <v>374</v>
      </c>
      <c r="AN101" s="451" t="s">
        <v>374</v>
      </c>
      <c r="AO101" s="451" t="s">
        <v>374</v>
      </c>
      <c r="AP101" s="452" t="s">
        <v>374</v>
      </c>
      <c r="AQ101" s="453" t="s">
        <v>374</v>
      </c>
      <c r="AR101" s="453" t="s">
        <v>374</v>
      </c>
      <c r="AS101" s="453" t="s">
        <v>374</v>
      </c>
      <c r="AT101" s="453" t="s">
        <v>374</v>
      </c>
      <c r="AU101" s="453" t="s">
        <v>374</v>
      </c>
      <c r="AV101" s="587"/>
      <c r="AW101" s="594"/>
      <c r="AX101" s="594"/>
      <c r="AY101" s="450" t="s">
        <v>372</v>
      </c>
      <c r="AZ101" s="454" t="s">
        <v>373</v>
      </c>
      <c r="BA101" s="455" t="s">
        <v>374</v>
      </c>
      <c r="BB101" s="456" t="s">
        <v>374</v>
      </c>
      <c r="BC101" s="456" t="s">
        <v>376</v>
      </c>
      <c r="BD101" s="471" t="s">
        <v>376</v>
      </c>
    </row>
    <row r="102" spans="2:57" ht="33" customHeight="1" thickBot="1">
      <c r="B102" s="485" t="s">
        <v>387</v>
      </c>
      <c r="C102" s="599" t="s">
        <v>388</v>
      </c>
      <c r="D102" s="599"/>
      <c r="E102" s="473" t="s">
        <v>372</v>
      </c>
      <c r="F102" s="474" t="s">
        <v>370</v>
      </c>
      <c r="G102" s="474" t="s">
        <v>324</v>
      </c>
      <c r="H102" s="474" t="s">
        <v>324</v>
      </c>
      <c r="I102" s="474" t="s">
        <v>324</v>
      </c>
      <c r="J102" s="474" t="s">
        <v>324</v>
      </c>
      <c r="K102" s="474" t="s">
        <v>324</v>
      </c>
      <c r="L102" s="474" t="s">
        <v>324</v>
      </c>
      <c r="M102" s="474" t="s">
        <v>324</v>
      </c>
      <c r="N102" s="474" t="s">
        <v>324</v>
      </c>
      <c r="O102" s="472" t="s">
        <v>387</v>
      </c>
      <c r="P102" s="599" t="s">
        <v>388</v>
      </c>
      <c r="Q102" s="599"/>
      <c r="R102" s="473" t="s">
        <v>372</v>
      </c>
      <c r="S102" s="474" t="s">
        <v>370</v>
      </c>
      <c r="T102" s="474" t="s">
        <v>324</v>
      </c>
      <c r="U102" s="474" t="s">
        <v>324</v>
      </c>
      <c r="V102" s="474" t="s">
        <v>324</v>
      </c>
      <c r="W102" s="474" t="s">
        <v>324</v>
      </c>
      <c r="X102" s="474" t="s">
        <v>324</v>
      </c>
      <c r="Y102" s="472" t="s">
        <v>387</v>
      </c>
      <c r="Z102" s="599" t="s">
        <v>388</v>
      </c>
      <c r="AA102" s="599"/>
      <c r="AB102" s="472" t="s">
        <v>372</v>
      </c>
      <c r="AC102" s="474" t="s">
        <v>370</v>
      </c>
      <c r="AD102" s="474" t="s">
        <v>324</v>
      </c>
      <c r="AE102" s="474" t="s">
        <v>324</v>
      </c>
      <c r="AF102" s="474" t="s">
        <v>324</v>
      </c>
      <c r="AG102" s="474" t="s">
        <v>324</v>
      </c>
      <c r="AH102" s="474" t="s">
        <v>324</v>
      </c>
      <c r="AI102" s="474" t="s">
        <v>324</v>
      </c>
      <c r="AJ102" s="474" t="s">
        <v>324</v>
      </c>
      <c r="AK102" s="474" t="s">
        <v>324</v>
      </c>
      <c r="AL102" s="474" t="s">
        <v>324</v>
      </c>
      <c r="AM102" s="474" t="s">
        <v>324</v>
      </c>
      <c r="AN102" s="474" t="s">
        <v>324</v>
      </c>
      <c r="AO102" s="474" t="s">
        <v>324</v>
      </c>
      <c r="AP102" s="475" t="s">
        <v>324</v>
      </c>
      <c r="AQ102" s="476" t="s">
        <v>324</v>
      </c>
      <c r="AR102" s="476" t="s">
        <v>324</v>
      </c>
      <c r="AS102" s="476" t="s">
        <v>324</v>
      </c>
      <c r="AT102" s="476" t="s">
        <v>324</v>
      </c>
      <c r="AU102" s="476" t="s">
        <v>324</v>
      </c>
      <c r="AV102" s="477" t="s">
        <v>387</v>
      </c>
      <c r="AW102" s="599" t="s">
        <v>388</v>
      </c>
      <c r="AX102" s="599"/>
      <c r="AY102" s="473" t="s">
        <v>372</v>
      </c>
      <c r="AZ102" s="475" t="s">
        <v>370</v>
      </c>
      <c r="BA102" s="476" t="s">
        <v>324</v>
      </c>
      <c r="BB102" s="478" t="s">
        <v>324</v>
      </c>
      <c r="BC102" s="478" t="s">
        <v>324</v>
      </c>
      <c r="BD102" s="479" t="s">
        <v>324</v>
      </c>
    </row>
  </sheetData>
  <mergeCells count="113">
    <mergeCell ref="B65:BD65"/>
    <mergeCell ref="B67:BD67"/>
    <mergeCell ref="B68:BD68"/>
    <mergeCell ref="G70:I70"/>
    <mergeCell ref="J70:M70"/>
    <mergeCell ref="T70:V70"/>
    <mergeCell ref="W70:X70"/>
    <mergeCell ref="AD70:AE70"/>
    <mergeCell ref="AF70:AI70"/>
    <mergeCell ref="AJ70:AM70"/>
    <mergeCell ref="C72:D72"/>
    <mergeCell ref="P72:Q72"/>
    <mergeCell ref="Z72:AA72"/>
    <mergeCell ref="C73:D73"/>
    <mergeCell ref="P73:Q73"/>
    <mergeCell ref="Z73:AA73"/>
    <mergeCell ref="AN70:AQ70"/>
    <mergeCell ref="AR70:AU70"/>
    <mergeCell ref="BA70:BD70"/>
    <mergeCell ref="B71:F71"/>
    <mergeCell ref="O71:S71"/>
    <mergeCell ref="Y71:AC71"/>
    <mergeCell ref="AV71:AZ71"/>
    <mergeCell ref="BB74:BB79"/>
    <mergeCell ref="BC74:BC79"/>
    <mergeCell ref="BD74:BD79"/>
    <mergeCell ref="AW73:AX73"/>
    <mergeCell ref="C74:C77"/>
    <mergeCell ref="E74:E77"/>
    <mergeCell ref="P74:P77"/>
    <mergeCell ref="R74:R77"/>
    <mergeCell ref="Z74:Z79"/>
    <mergeCell ref="AB74:AB79"/>
    <mergeCell ref="AW74:AX79"/>
    <mergeCell ref="C78:C82"/>
    <mergeCell ref="E78:E82"/>
    <mergeCell ref="P78:P82"/>
    <mergeCell ref="R78:R82"/>
    <mergeCell ref="Z80:Z84"/>
    <mergeCell ref="AB80:AB84"/>
    <mergeCell ref="AW80:AW84"/>
    <mergeCell ref="AY80:AY84"/>
    <mergeCell ref="AY74:AY79"/>
    <mergeCell ref="AZ74:AZ79"/>
    <mergeCell ref="BA74:BA79"/>
    <mergeCell ref="AW85:AW87"/>
    <mergeCell ref="AY85:AY87"/>
    <mergeCell ref="Y89:AR89"/>
    <mergeCell ref="C91:D91"/>
    <mergeCell ref="P91:Q91"/>
    <mergeCell ref="Z91:AA91"/>
    <mergeCell ref="AW91:AX91"/>
    <mergeCell ref="C83:C85"/>
    <mergeCell ref="E83:E85"/>
    <mergeCell ref="P83:P85"/>
    <mergeCell ref="R83:R85"/>
    <mergeCell ref="Z85:Z87"/>
    <mergeCell ref="AB85:AB87"/>
    <mergeCell ref="AV92:AV93"/>
    <mergeCell ref="AW92:AX93"/>
    <mergeCell ref="B94:B95"/>
    <mergeCell ref="C94:D95"/>
    <mergeCell ref="O94:O95"/>
    <mergeCell ref="P94:Q95"/>
    <mergeCell ref="Y94:Y95"/>
    <mergeCell ref="Z94:AA95"/>
    <mergeCell ref="AV94:AV95"/>
    <mergeCell ref="AW94:AX95"/>
    <mergeCell ref="B92:B93"/>
    <mergeCell ref="C92:D93"/>
    <mergeCell ref="O92:O93"/>
    <mergeCell ref="P92:Q93"/>
    <mergeCell ref="Y92:Y93"/>
    <mergeCell ref="Z92:AA93"/>
    <mergeCell ref="AV96:AV97"/>
    <mergeCell ref="AW96:AX97"/>
    <mergeCell ref="B98:B99"/>
    <mergeCell ref="C98:D99"/>
    <mergeCell ref="O98:O99"/>
    <mergeCell ref="P98:Q99"/>
    <mergeCell ref="Y98:Y99"/>
    <mergeCell ref="Z98:AA99"/>
    <mergeCell ref="AV98:AV99"/>
    <mergeCell ref="AW98:AX99"/>
    <mergeCell ref="B96:B97"/>
    <mergeCell ref="C96:D97"/>
    <mergeCell ref="O96:O97"/>
    <mergeCell ref="P96:Q97"/>
    <mergeCell ref="Y96:Y97"/>
    <mergeCell ref="Z96:AA97"/>
    <mergeCell ref="AV100:AV101"/>
    <mergeCell ref="AW100:AX101"/>
    <mergeCell ref="C102:D102"/>
    <mergeCell ref="P102:Q102"/>
    <mergeCell ref="Z102:AA102"/>
    <mergeCell ref="AW102:AX102"/>
    <mergeCell ref="B100:B101"/>
    <mergeCell ref="C100:D101"/>
    <mergeCell ref="O100:O101"/>
    <mergeCell ref="P100:Q101"/>
    <mergeCell ref="Y100:Y101"/>
    <mergeCell ref="Z100:AA101"/>
    <mergeCell ref="AO6:AP6"/>
    <mergeCell ref="AO13:AO15"/>
    <mergeCell ref="AO7:AP7"/>
    <mergeCell ref="T6:U6"/>
    <mergeCell ref="T7:T12"/>
    <mergeCell ref="T13:T17"/>
    <mergeCell ref="T18:T20"/>
    <mergeCell ref="C6:D6"/>
    <mergeCell ref="C7:C10"/>
    <mergeCell ref="C11:C15"/>
    <mergeCell ref="C16:C18"/>
  </mergeCells>
  <conditionalFormatting sqref="L83:L85">
    <cfRule type="uniqueValues" dxfId="7" priority="7"/>
  </conditionalFormatting>
  <conditionalFormatting sqref="M83:M85">
    <cfRule type="uniqueValues" dxfId="6" priority="6"/>
  </conditionalFormatting>
  <conditionalFormatting sqref="N83:N85">
    <cfRule type="uniqueValues" dxfId="5" priority="5"/>
  </conditionalFormatting>
  <conditionalFormatting sqref="T83:T85">
    <cfRule type="uniqueValues" dxfId="4" priority="4"/>
  </conditionalFormatting>
  <conditionalFormatting sqref="U83:U85">
    <cfRule type="uniqueValues" dxfId="3" priority="3"/>
  </conditionalFormatting>
  <conditionalFormatting sqref="V83:V85">
    <cfRule type="uniqueValues" dxfId="2" priority="2"/>
  </conditionalFormatting>
  <conditionalFormatting sqref="W83:W85">
    <cfRule type="uniqueValues" dxfId="1" priority="1"/>
  </conditionalFormatting>
  <pageMargins left="0.7" right="0.7" top="0.75" bottom="0.75" header="0.3" footer="0.3"/>
  <ignoredErrors>
    <ignoredError sqref="AY40:AY43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1A877-37B4-481C-9EE3-38A1DF2F6AEC}">
  <sheetPr>
    <tabColor theme="7" tint="-0.249977111117893"/>
  </sheetPr>
  <dimension ref="B1:K75"/>
  <sheetViews>
    <sheetView showGridLines="0" zoomScale="90" zoomScaleNormal="90" workbookViewId="0">
      <selection activeCell="D34" sqref="D34"/>
    </sheetView>
  </sheetViews>
  <sheetFormatPr baseColWidth="10" defaultColWidth="11.453125" defaultRowHeight="14.5"/>
  <cols>
    <col min="1" max="1" width="11.453125" style="3"/>
    <col min="2" max="2" width="32.1796875" style="3" customWidth="1"/>
    <col min="3" max="9" width="14.1796875" style="3" bestFit="1" customWidth="1"/>
    <col min="10" max="13" width="15.26953125" style="3" bestFit="1" customWidth="1"/>
    <col min="14" max="16384" width="11.453125" style="3"/>
  </cols>
  <sheetData>
    <row r="1" spans="2:11">
      <c r="I1" s="411">
        <f>'1. Factor X'!D15</f>
        <v>-5.4635196730062507E-2</v>
      </c>
    </row>
    <row r="3" spans="2:11">
      <c r="B3" s="50" t="s">
        <v>262</v>
      </c>
    </row>
    <row r="4" spans="2:11">
      <c r="B4" s="50"/>
      <c r="I4" s="411"/>
    </row>
    <row r="5" spans="2:11">
      <c r="B5" s="50"/>
    </row>
    <row r="6" spans="2:11">
      <c r="B6" s="50" t="s">
        <v>263</v>
      </c>
    </row>
    <row r="7" spans="2:11" ht="15" thickBot="1"/>
    <row r="8" spans="2:11">
      <c r="B8" s="388"/>
      <c r="C8" s="125">
        <v>2016</v>
      </c>
      <c r="D8" s="125">
        <v>2017</v>
      </c>
      <c r="E8" s="125">
        <v>2018</v>
      </c>
      <c r="F8" s="125">
        <v>2019</v>
      </c>
      <c r="G8" s="125">
        <v>2020</v>
      </c>
      <c r="H8" s="125">
        <v>2021</v>
      </c>
      <c r="I8" s="125">
        <v>2022</v>
      </c>
      <c r="J8" s="126">
        <v>2023</v>
      </c>
    </row>
    <row r="9" spans="2:11">
      <c r="B9" s="175" t="s">
        <v>255</v>
      </c>
      <c r="C9" s="378">
        <f>+SUMPRODUCT(C53:C75,D23:D45)/SUMPRODUCT(C53:C75,C23:C45)</f>
        <v>0.97283128654271611</v>
      </c>
      <c r="D9" s="378">
        <f>+SUMPRODUCT(D53:D75,E23:E45)/SUMPRODUCT(D53:D75,D23:D45)</f>
        <v>0.93932476293287614</v>
      </c>
      <c r="E9" s="378">
        <f t="shared" ref="E9:J9" si="0">+SUMPRODUCT(E53:E75,F23:F45)/SUMPRODUCT(E53:E75,E23:E45)</f>
        <v>0.95730919000331394</v>
      </c>
      <c r="F9" s="378">
        <f t="shared" si="0"/>
        <v>1.0028803852636434</v>
      </c>
      <c r="G9" s="378">
        <f t="shared" si="0"/>
        <v>1.0675628393124537</v>
      </c>
      <c r="H9" s="378">
        <f t="shared" si="0"/>
        <v>0.84057600627497853</v>
      </c>
      <c r="I9" s="378">
        <f t="shared" si="0"/>
        <v>0.64045225718396925</v>
      </c>
      <c r="J9" s="379">
        <f t="shared" si="0"/>
        <v>1.3670327804112863</v>
      </c>
    </row>
    <row r="10" spans="2:11">
      <c r="B10" s="175" t="s">
        <v>256</v>
      </c>
      <c r="C10" s="378">
        <f t="shared" ref="C10:J10" si="1">+SUMPRODUCT(D53:D75,D23:D45)/SUMPRODUCT(D53:D75,C23:C45)</f>
        <v>0.9721422824153193</v>
      </c>
      <c r="D10" s="378">
        <f t="shared" si="1"/>
        <v>0.95109939511910313</v>
      </c>
      <c r="E10" s="378">
        <f t="shared" si="1"/>
        <v>0.95521792409311301</v>
      </c>
      <c r="F10" s="378">
        <f t="shared" si="1"/>
        <v>0.9925618975353947</v>
      </c>
      <c r="G10" s="378">
        <f t="shared" si="1"/>
        <v>1.0223328791629374</v>
      </c>
      <c r="H10" s="378">
        <f t="shared" si="1"/>
        <v>0.78466962357338044</v>
      </c>
      <c r="I10" s="378">
        <f t="shared" si="1"/>
        <v>0.71023610976872731</v>
      </c>
      <c r="J10" s="379">
        <f t="shared" si="1"/>
        <v>1.343406750390931</v>
      </c>
    </row>
    <row r="11" spans="2:11" ht="15" thickBot="1">
      <c r="B11" s="185" t="s">
        <v>257</v>
      </c>
      <c r="C11" s="386">
        <f>+SQRT(C9*C10)</f>
        <v>0.97248672345933207</v>
      </c>
      <c r="D11" s="386">
        <f t="shared" ref="D11:J11" si="2">+SQRT(D9*D10)</f>
        <v>0.94519374407888113</v>
      </c>
      <c r="E11" s="386">
        <f t="shared" si="2"/>
        <v>0.95626298537077403</v>
      </c>
      <c r="F11" s="386">
        <f t="shared" si="2"/>
        <v>0.99770780201334985</v>
      </c>
      <c r="G11" s="386">
        <f t="shared" si="2"/>
        <v>1.0447031115114289</v>
      </c>
      <c r="H11" s="386">
        <f t="shared" si="2"/>
        <v>0.81214189550139748</v>
      </c>
      <c r="I11" s="386">
        <f t="shared" si="2"/>
        <v>0.67444222853773228</v>
      </c>
      <c r="J11" s="387">
        <f t="shared" si="2"/>
        <v>1.3551682792960458</v>
      </c>
    </row>
    <row r="12" spans="2:11" ht="15" thickBot="1"/>
    <row r="13" spans="2:11" ht="15" thickBot="1">
      <c r="B13" s="281" t="s">
        <v>258</v>
      </c>
      <c r="C13" s="389">
        <f>LN(C11)</f>
        <v>-2.7898855552563172E-2</v>
      </c>
      <c r="D13" s="389">
        <f t="shared" ref="D13:J13" si="3">LN(D11)</f>
        <v>-5.6365352312868995E-2</v>
      </c>
      <c r="E13" s="389">
        <f t="shared" si="3"/>
        <v>-4.4722314460886793E-2</v>
      </c>
      <c r="F13" s="389">
        <f t="shared" si="3"/>
        <v>-2.2948290939032697E-3</v>
      </c>
      <c r="G13" s="389">
        <f t="shared" si="3"/>
        <v>4.3732741234825089E-2</v>
      </c>
      <c r="H13" s="389">
        <f t="shared" si="3"/>
        <v>-0.20808020593270893</v>
      </c>
      <c r="I13" s="389">
        <f t="shared" si="3"/>
        <v>-0.39386925779910764</v>
      </c>
      <c r="J13" s="390">
        <f t="shared" si="3"/>
        <v>0.3039256379829508</v>
      </c>
    </row>
    <row r="14" spans="2:11" ht="15" thickBot="1">
      <c r="B14" s="50"/>
      <c r="C14" s="391"/>
      <c r="D14" s="391"/>
      <c r="E14" s="391"/>
      <c r="F14" s="391"/>
      <c r="G14" s="391"/>
      <c r="H14" s="391"/>
      <c r="I14" s="391"/>
      <c r="J14" s="391"/>
      <c r="K14" s="391"/>
    </row>
    <row r="15" spans="2:11" ht="15" thickBot="1">
      <c r="B15" s="281" t="s">
        <v>264</v>
      </c>
      <c r="C15" s="390">
        <f>AVERAGE(C13:J13)</f>
        <v>-4.8196554491782867E-2</v>
      </c>
      <c r="D15" s="391"/>
      <c r="E15" s="391"/>
      <c r="F15" s="391"/>
      <c r="G15" s="391"/>
      <c r="H15" s="391"/>
      <c r="I15" s="391"/>
      <c r="J15" s="391"/>
      <c r="K15" s="391"/>
    </row>
    <row r="16" spans="2:11">
      <c r="B16" s="50"/>
      <c r="C16" s="391"/>
      <c r="D16" s="391"/>
      <c r="E16" s="391"/>
      <c r="F16" s="391"/>
      <c r="G16" s="391"/>
      <c r="H16" s="391"/>
      <c r="I16" s="391"/>
      <c r="J16" s="391"/>
      <c r="K16" s="391"/>
    </row>
    <row r="17" spans="2:11">
      <c r="B17" s="374" t="s">
        <v>247</v>
      </c>
    </row>
    <row r="18" spans="2:11" ht="15" thickBot="1"/>
    <row r="19" spans="2:11">
      <c r="B19" s="173"/>
      <c r="C19" s="125">
        <v>2015</v>
      </c>
      <c r="D19" s="125">
        <v>2016</v>
      </c>
      <c r="E19" s="125">
        <v>2017</v>
      </c>
      <c r="F19" s="125">
        <v>2018</v>
      </c>
      <c r="G19" s="125">
        <v>2019</v>
      </c>
      <c r="H19" s="125">
        <v>2020</v>
      </c>
      <c r="I19" s="125">
        <v>2021</v>
      </c>
      <c r="J19" s="125">
        <v>2022</v>
      </c>
      <c r="K19" s="126">
        <v>2023</v>
      </c>
    </row>
    <row r="20" spans="2:11">
      <c r="B20" s="212" t="s">
        <v>248</v>
      </c>
      <c r="C20" s="50"/>
      <c r="D20" s="50"/>
      <c r="E20" s="50"/>
      <c r="F20" s="50"/>
      <c r="G20" s="50"/>
      <c r="H20" s="50"/>
      <c r="I20" s="50"/>
      <c r="J20" s="50"/>
      <c r="K20" s="375"/>
    </row>
    <row r="21" spans="2:11">
      <c r="B21" s="175"/>
      <c r="K21" s="174"/>
    </row>
    <row r="22" spans="2:11">
      <c r="B22" s="175" t="s">
        <v>57</v>
      </c>
      <c r="K22" s="174"/>
    </row>
    <row r="23" spans="2:11">
      <c r="B23" s="47" t="s">
        <v>58</v>
      </c>
      <c r="C23" s="190">
        <f>'2.2.1. Mano de Obra'!C29</f>
        <v>4.6289634615658031</v>
      </c>
      <c r="D23" s="190">
        <f>'2.2.1. Mano de Obra'!D29</f>
        <v>6.400762421210902</v>
      </c>
      <c r="E23" s="190">
        <f>'2.2.1. Mano de Obra'!E29</f>
        <v>6.2003898321098339</v>
      </c>
      <c r="F23" s="190">
        <f>'2.2.1. Mano de Obra'!F29</f>
        <v>5.4309068189625265</v>
      </c>
      <c r="G23" s="190">
        <f>'2.2.1. Mano de Obra'!G29</f>
        <v>6.2763309381857901</v>
      </c>
      <c r="H23" s="190">
        <f>'2.2.1. Mano de Obra'!H29</f>
        <v>7.0719351478955979</v>
      </c>
      <c r="I23" s="190">
        <f>'2.2.1. Mano de Obra'!I29</f>
        <v>8.6452949050640004</v>
      </c>
      <c r="J23" s="190">
        <f>'2.2.1. Mano de Obra'!J29</f>
        <v>7.554765626424703</v>
      </c>
      <c r="K23" s="191">
        <f>'2.2.1. Mano de Obra'!K29</f>
        <v>8.7018137006240082</v>
      </c>
    </row>
    <row r="24" spans="2:11">
      <c r="B24" s="47" t="s">
        <v>59</v>
      </c>
      <c r="C24" s="190">
        <f>'2.2.1. Mano de Obra'!C30</f>
        <v>12.632162115647043</v>
      </c>
      <c r="D24" s="190">
        <f>'2.2.1. Mano de Obra'!D30</f>
        <v>22.009612340795574</v>
      </c>
      <c r="E24" s="190">
        <f>'2.2.1. Mano de Obra'!E30</f>
        <v>21.202260861330885</v>
      </c>
      <c r="F24" s="190">
        <f>'2.2.1. Mano de Obra'!F30</f>
        <v>20.894399568391169</v>
      </c>
      <c r="G24" s="190">
        <f>'2.2.1. Mano de Obra'!G30</f>
        <v>21.407474260188891</v>
      </c>
      <c r="H24" s="190">
        <f>'2.2.1. Mano de Obra'!H30</f>
        <v>20.801945317199525</v>
      </c>
      <c r="I24" s="190">
        <f>'2.2.1. Mano de Obra'!I30</f>
        <v>23.323546214015096</v>
      </c>
      <c r="J24" s="190">
        <f>'2.2.1. Mano de Obra'!J30</f>
        <v>26.825513736019058</v>
      </c>
      <c r="K24" s="191">
        <f>'2.2.1. Mano de Obra'!K30</f>
        <v>17.741139121337145</v>
      </c>
    </row>
    <row r="25" spans="2:11">
      <c r="B25" s="47" t="s">
        <v>60</v>
      </c>
      <c r="C25" s="190">
        <f>'2.2.1. Mano de Obra'!C31</f>
        <v>31.589247205354276</v>
      </c>
      <c r="D25" s="190">
        <f>'2.2.1. Mano de Obra'!D31</f>
        <v>16.060811013351199</v>
      </c>
      <c r="E25" s="190">
        <f>'2.2.1. Mano de Obra'!E31</f>
        <v>15.730134078791229</v>
      </c>
      <c r="F25" s="190">
        <f>'2.2.1. Mano de Obra'!F31</f>
        <v>13.19216452748806</v>
      </c>
      <c r="G25" s="190">
        <f>'2.2.1. Mano de Obra'!G31</f>
        <v>11.901816086034394</v>
      </c>
      <c r="H25" s="190">
        <f>'2.2.1. Mano de Obra'!H31</f>
        <v>25.62389867457437</v>
      </c>
      <c r="I25" s="190">
        <f>'2.2.1. Mano de Obra'!I31</f>
        <v>6.8785535966071523</v>
      </c>
      <c r="J25" s="190">
        <f>'2.2.1. Mano de Obra'!J31</f>
        <v>8.1371378318682961</v>
      </c>
      <c r="K25" s="191">
        <f>'2.2.1. Mano de Obra'!K31</f>
        <v>8.7416518617692081</v>
      </c>
    </row>
    <row r="26" spans="2:11">
      <c r="B26" s="175"/>
      <c r="C26" s="39"/>
      <c r="D26" s="39"/>
      <c r="E26" s="39"/>
      <c r="F26" s="39"/>
      <c r="G26" s="39"/>
      <c r="H26" s="39"/>
      <c r="I26" s="39"/>
      <c r="J26" s="39"/>
      <c r="K26" s="144"/>
    </row>
    <row r="27" spans="2:11">
      <c r="B27" s="212" t="s">
        <v>249</v>
      </c>
      <c r="C27" s="376"/>
      <c r="D27" s="376"/>
      <c r="E27" s="376"/>
      <c r="F27" s="376"/>
      <c r="G27" s="376"/>
      <c r="H27" s="376"/>
      <c r="I27" s="376"/>
      <c r="J27" s="376"/>
      <c r="K27" s="377"/>
    </row>
    <row r="28" spans="2:11">
      <c r="B28" s="175"/>
      <c r="C28" s="39"/>
      <c r="D28" s="39"/>
      <c r="E28" s="39"/>
      <c r="F28" s="39"/>
      <c r="G28" s="39"/>
      <c r="H28" s="39"/>
      <c r="I28" s="39"/>
      <c r="J28" s="39"/>
      <c r="K28" s="144"/>
    </row>
    <row r="29" spans="2:11">
      <c r="B29" s="175" t="s">
        <v>202</v>
      </c>
      <c r="C29" s="378">
        <f>'2.2.2. Prod. Intermedios'!C25</f>
        <v>0.92279798291153847</v>
      </c>
      <c r="D29" s="378">
        <f>'2.2.2. Prod. Intermedios'!D25</f>
        <v>0.90187911057353298</v>
      </c>
      <c r="E29" s="378">
        <f>'2.2.2. Prod. Intermedios'!E25</f>
        <v>0.95984021240664996</v>
      </c>
      <c r="F29" s="378">
        <f>'2.2.2. Prod. Intermedios'!F25</f>
        <v>0.96479810980474456</v>
      </c>
      <c r="G29" s="378">
        <f>'2.2.2. Prod. Intermedios'!G25</f>
        <v>0.97046388283846141</v>
      </c>
      <c r="H29" s="378">
        <f>'2.2.2. Prod. Intermedios'!H25</f>
        <v>0.94342562972153088</v>
      </c>
      <c r="I29" s="378">
        <f>'2.2.2. Prod. Intermedios'!I25</f>
        <v>0.88323239381378138</v>
      </c>
      <c r="J29" s="378">
        <f>'2.2.2. Prod. Intermedios'!J25</f>
        <v>0.96392283588935623</v>
      </c>
      <c r="K29" s="379">
        <f>'2.2.2. Prod. Intermedios'!K25</f>
        <v>1.0530191030693534</v>
      </c>
    </row>
    <row r="30" spans="2:11">
      <c r="B30" s="175"/>
      <c r="C30" s="39"/>
      <c r="D30" s="39"/>
      <c r="E30" s="39"/>
      <c r="F30" s="39"/>
      <c r="G30" s="39"/>
      <c r="H30" s="39"/>
      <c r="I30" s="39"/>
      <c r="J30" s="39"/>
      <c r="K30" s="144"/>
    </row>
    <row r="31" spans="2:11">
      <c r="B31" s="212" t="s">
        <v>250</v>
      </c>
      <c r="C31" s="376"/>
      <c r="D31" s="376"/>
      <c r="E31" s="376"/>
      <c r="F31" s="376"/>
      <c r="G31" s="376"/>
      <c r="H31" s="376"/>
      <c r="I31" s="376"/>
      <c r="J31" s="376"/>
      <c r="K31" s="377"/>
    </row>
    <row r="32" spans="2:11">
      <c r="B32" s="175"/>
      <c r="C32" s="39"/>
      <c r="D32" s="39"/>
      <c r="E32" s="39"/>
      <c r="F32" s="39"/>
      <c r="G32" s="39"/>
      <c r="H32" s="39"/>
      <c r="I32" s="39"/>
      <c r="J32" s="39"/>
      <c r="K32" s="144"/>
    </row>
    <row r="33" spans="2:11">
      <c r="B33" s="175" t="s">
        <v>94</v>
      </c>
      <c r="C33" s="39"/>
      <c r="D33" s="39"/>
      <c r="E33" s="39"/>
      <c r="F33" s="39"/>
      <c r="G33" s="39"/>
      <c r="H33" s="39"/>
      <c r="I33" s="39"/>
      <c r="J33" s="39"/>
      <c r="K33" s="144"/>
    </row>
    <row r="34" spans="2:11">
      <c r="B34" s="47" t="s">
        <v>95</v>
      </c>
      <c r="C34" s="380">
        <f>'2.2.3.9.PrecioCapital'!C53</f>
        <v>0.37633066177499652</v>
      </c>
      <c r="D34" s="380">
        <f>'2.2.3.9.PrecioCapital'!D53</f>
        <v>0.35835899735899762</v>
      </c>
      <c r="E34" s="380">
        <f>'2.2.3.9.PrecioCapital'!E53</f>
        <v>0.32326868936216518</v>
      </c>
      <c r="F34" s="380">
        <f>'2.2.3.9.PrecioCapital'!F53</f>
        <v>0.31194015142671561</v>
      </c>
      <c r="G34" s="380">
        <f>'2.2.3.9.PrecioCapital'!G53</f>
        <v>0.30562500467430903</v>
      </c>
      <c r="H34" s="380">
        <f>'2.2.3.9.PrecioCapital'!H53</f>
        <v>0.3080549004557307</v>
      </c>
      <c r="I34" s="380">
        <f>'2.2.3.9.PrecioCapital'!I53</f>
        <v>0.26896800003752236</v>
      </c>
      <c r="J34" s="380">
        <f>'2.2.3.9.PrecioCapital'!J53</f>
        <v>0.20652917068131113</v>
      </c>
      <c r="K34" s="381">
        <f>'2.2.3.9.PrecioCapital'!K53</f>
        <v>0.26396214802029005</v>
      </c>
    </row>
    <row r="35" spans="2:11">
      <c r="B35" s="47" t="s">
        <v>96</v>
      </c>
      <c r="C35" s="380">
        <f>'2.2.3.9.PrecioCapital'!C54</f>
        <v>0.32911669994045395</v>
      </c>
      <c r="D35" s="380">
        <f>'2.2.3.9.PrecioCapital'!D54</f>
        <v>0.31176350659187119</v>
      </c>
      <c r="E35" s="380">
        <f>'2.2.3.9.PrecioCapital'!E54</f>
        <v>0.27516930230470182</v>
      </c>
      <c r="F35" s="380">
        <f>'2.2.3.9.PrecioCapital'!F54</f>
        <v>0.26397056434966298</v>
      </c>
      <c r="G35" s="380">
        <f>'2.2.3.9.PrecioCapital'!G54</f>
        <v>0.25764541617353492</v>
      </c>
      <c r="H35" s="380">
        <f>'2.2.3.9.PrecioCapital'!H54</f>
        <v>0.26061372522211779</v>
      </c>
      <c r="I35" s="380">
        <f>'2.2.3.9.PrecioCapital'!I54</f>
        <v>0.22217118117344425</v>
      </c>
      <c r="J35" s="380">
        <f>'2.2.3.9.PrecioCapital'!J54</f>
        <v>0.15739531271651241</v>
      </c>
      <c r="K35" s="381">
        <f>'2.2.3.9.PrecioCapital'!K54</f>
        <v>0.21294900369354083</v>
      </c>
    </row>
    <row r="36" spans="2:11">
      <c r="B36" s="47" t="s">
        <v>97</v>
      </c>
      <c r="C36" s="380">
        <f>'2.2.3.9.PrecioCapital'!C55</f>
        <v>0.38113917911674644</v>
      </c>
      <c r="D36" s="380">
        <f>'2.2.3.9.PrecioCapital'!D55</f>
        <v>0.36310452636557111</v>
      </c>
      <c r="E36" s="380">
        <f>'2.2.3.9.PrecioCapital'!E55</f>
        <v>0.32816738304950877</v>
      </c>
      <c r="F36" s="380">
        <f>'2.2.3.9.PrecioCapital'!F55</f>
        <v>0.31682562560371708</v>
      </c>
      <c r="G36" s="380">
        <f>'2.2.3.9.PrecioCapital'!G55</f>
        <v>0.31051149744872397</v>
      </c>
      <c r="H36" s="380">
        <f>'2.2.3.9.PrecioCapital'!H55</f>
        <v>0.31288655840096435</v>
      </c>
      <c r="I36" s="380">
        <f>'2.2.3.9.PrecioCapital'!I55</f>
        <v>0.27373403335273588</v>
      </c>
      <c r="J36" s="380">
        <f>'2.2.3.9.PrecioCapital'!J55</f>
        <v>0.21153322030796112</v>
      </c>
      <c r="K36" s="381">
        <f>'2.2.3.9.PrecioCapital'!K55</f>
        <v>0.2691575940201828</v>
      </c>
    </row>
    <row r="37" spans="2:11">
      <c r="B37" s="47" t="s">
        <v>98</v>
      </c>
      <c r="C37" s="380">
        <f>'2.2.3.9.PrecioCapital'!C56</f>
        <v>0.29774023207466666</v>
      </c>
      <c r="D37" s="380">
        <f>'2.2.3.9.PrecioCapital'!D56</f>
        <v>0.28079804930047081</v>
      </c>
      <c r="E37" s="380">
        <f>'2.2.3.9.PrecioCapital'!E56</f>
        <v>0.24320441705187351</v>
      </c>
      <c r="F37" s="380">
        <f>'2.2.3.9.PrecioCapital'!F56</f>
        <v>0.232091938854671</v>
      </c>
      <c r="G37" s="380">
        <f>'2.2.3.9.PrecioCapital'!G56</f>
        <v>0.22576014414142095</v>
      </c>
      <c r="H37" s="380">
        <f>'2.2.3.9.PrecioCapital'!H56</f>
        <v>0.22908626062490611</v>
      </c>
      <c r="I37" s="380">
        <f>'2.2.3.9.PrecioCapital'!I56</f>
        <v>0.19107192946363388</v>
      </c>
      <c r="J37" s="380">
        <f>'2.2.3.9.PrecioCapital'!J56</f>
        <v>0.12474296041112355</v>
      </c>
      <c r="K37" s="381">
        <f>'2.2.3.9.PrecioCapital'!K56</f>
        <v>0.17904775453952501</v>
      </c>
    </row>
    <row r="38" spans="2:11">
      <c r="B38" s="47" t="s">
        <v>99</v>
      </c>
      <c r="C38" s="380">
        <f>'2.2.3.9.PrecioCapital'!C57</f>
        <v>0.3689795201073568</v>
      </c>
      <c r="D38" s="380">
        <f>'2.2.3.9.PrecioCapital'!D57</f>
        <v>0.35110415069091422</v>
      </c>
      <c r="E38" s="380">
        <f>'2.2.3.9.PrecioCapital'!E57</f>
        <v>0.31577968834112907</v>
      </c>
      <c r="F38" s="380">
        <f>'2.2.3.9.PrecioCapital'!F57</f>
        <v>0.3044713600641657</v>
      </c>
      <c r="G38" s="380">
        <f>'2.2.3.9.PrecioCapital'!G57</f>
        <v>0.29815465610537778</v>
      </c>
      <c r="H38" s="380">
        <f>'2.2.3.9.PrecioCapital'!H57</f>
        <v>0.30066838200926427</v>
      </c>
      <c r="I38" s="380">
        <f>'2.2.3.9.PrecioCapital'!I57</f>
        <v>0.26168180689257364</v>
      </c>
      <c r="J38" s="380">
        <f>'2.2.3.9.PrecioCapital'!J57</f>
        <v>0.19887910412170559</v>
      </c>
      <c r="K38" s="381">
        <f>'2.2.3.9.PrecioCapital'!K57</f>
        <v>0.25601947944755177</v>
      </c>
    </row>
    <row r="39" spans="2:11">
      <c r="B39" s="47" t="s">
        <v>100</v>
      </c>
      <c r="C39" s="380">
        <f>'2.2.3.9.PrecioCapital'!C58</f>
        <v>0.33954338987374649</v>
      </c>
      <c r="D39" s="380">
        <f>'2.2.3.9.PrecioCapital'!D58</f>
        <v>0.32205361391692466</v>
      </c>
      <c r="E39" s="380">
        <f>'2.2.3.9.PrecioCapital'!E58</f>
        <v>0.28579152876786368</v>
      </c>
      <c r="F39" s="380">
        <f>'2.2.3.9.PrecioCapital'!F58</f>
        <v>0.27456412589896245</v>
      </c>
      <c r="G39" s="380">
        <f>'2.2.3.9.PrecioCapital'!G58</f>
        <v>0.26824118642847961</v>
      </c>
      <c r="H39" s="380">
        <f>'2.2.3.9.PrecioCapital'!H58</f>
        <v>0.27109059276323522</v>
      </c>
      <c r="I39" s="380">
        <f>'2.2.3.9.PrecioCapital'!I58</f>
        <v>0.23250574961889958</v>
      </c>
      <c r="J39" s="380">
        <f>'2.2.3.9.PrecioCapital'!J58</f>
        <v>0.1682459908278032</v>
      </c>
      <c r="K39" s="381">
        <f>'2.2.3.9.PrecioCapital'!K58</f>
        <v>0.22421470175720482</v>
      </c>
    </row>
    <row r="40" spans="2:11">
      <c r="B40" s="175" t="s">
        <v>222</v>
      </c>
      <c r="C40" s="39"/>
      <c r="D40" s="39"/>
      <c r="E40" s="39"/>
      <c r="F40" s="39"/>
      <c r="G40" s="39"/>
      <c r="H40" s="39"/>
      <c r="I40" s="39"/>
      <c r="J40" s="39"/>
      <c r="K40" s="144"/>
    </row>
    <row r="41" spans="2:11">
      <c r="B41" s="47" t="s">
        <v>101</v>
      </c>
      <c r="C41" s="380">
        <f>'2.2.3.9.PrecioCapital'!C60</f>
        <v>0.51313356252372211</v>
      </c>
      <c r="D41" s="380">
        <f>'2.2.3.9.PrecioCapital'!D60</f>
        <v>0.49336987234322172</v>
      </c>
      <c r="E41" s="380">
        <f>'2.2.3.9.PrecioCapital'!E60</f>
        <v>0.46263711806459523</v>
      </c>
      <c r="F41" s="380">
        <f>'2.2.3.9.PrecioCapital'!F60</f>
        <v>0.45093248345885245</v>
      </c>
      <c r="G41" s="380">
        <f>'2.2.3.9.PrecioCapital'!G60</f>
        <v>0.44464631592622628</v>
      </c>
      <c r="H41" s="380">
        <f>'2.2.3.9.PrecioCapital'!H60</f>
        <v>0.4455161541762051</v>
      </c>
      <c r="I41" s="380">
        <f>'2.2.3.9.PrecioCapital'!I60</f>
        <v>0.40456222508590195</v>
      </c>
      <c r="J41" s="380">
        <f>'2.2.3.9.PrecioCapital'!J60</f>
        <v>0.34889498861702728</v>
      </c>
      <c r="K41" s="381">
        <f>'2.2.3.9.PrecioCapital'!K60</f>
        <v>0.41177321595543032</v>
      </c>
    </row>
    <row r="42" spans="2:11">
      <c r="B42" s="47" t="s">
        <v>102</v>
      </c>
      <c r="C42" s="380">
        <f>'2.2.3.9.PrecioCapital'!C61</f>
        <v>0.23478280655622946</v>
      </c>
      <c r="D42" s="380">
        <f>'2.2.3.9.PrecioCapital'!D61</f>
        <v>0.21866532360914431</v>
      </c>
      <c r="E42" s="380">
        <f>'2.2.3.9.PrecioCapital'!E61</f>
        <v>0.17906632186797727</v>
      </c>
      <c r="F42" s="380">
        <f>'2.2.3.9.PrecioCapital'!F61</f>
        <v>0.16812692536698243</v>
      </c>
      <c r="G42" s="380">
        <f>'2.2.3.9.PrecioCapital'!G61</f>
        <v>0.16178179426202632</v>
      </c>
      <c r="H42" s="380">
        <f>'2.2.3.9.PrecioCapital'!H61</f>
        <v>0.16582585755294574</v>
      </c>
      <c r="I42" s="380">
        <f>'2.2.3.9.PrecioCapital'!I61</f>
        <v>0.12867074295741063</v>
      </c>
      <c r="J42" s="380">
        <f>'2.2.3.9.PrecioCapital'!J61</f>
        <v>5.9225450694556057E-2</v>
      </c>
      <c r="K42" s="381">
        <f>'2.2.3.9.PrecioCapital'!K61</f>
        <v>0.11102431169294524</v>
      </c>
    </row>
    <row r="43" spans="2:11">
      <c r="B43" s="175" t="s">
        <v>223</v>
      </c>
      <c r="C43" s="39"/>
      <c r="D43" s="39"/>
      <c r="E43" s="39"/>
      <c r="F43" s="39"/>
      <c r="G43" s="39"/>
      <c r="H43" s="39"/>
      <c r="I43" s="39"/>
      <c r="J43" s="39"/>
      <c r="K43" s="144"/>
    </row>
    <row r="44" spans="2:11">
      <c r="B44" s="47" t="s">
        <v>85</v>
      </c>
      <c r="C44" s="380">
        <f>'2.2.3.9.PrecioCapital'!C63</f>
        <v>0.2327512568293266</v>
      </c>
      <c r="D44" s="380">
        <f>'2.2.3.9.PrecioCapital'!D63</f>
        <v>0.21666038581395164</v>
      </c>
      <c r="E44" s="380">
        <f>'2.2.3.9.PrecioCapital'!E63</f>
        <v>0.17699667355116749</v>
      </c>
      <c r="F44" s="380">
        <f>'2.2.3.9.PrecioCapital'!F63</f>
        <v>0.16606286215899446</v>
      </c>
      <c r="G44" s="380">
        <f>'2.2.3.9.PrecioCapital'!G63</f>
        <v>0.15971730070697915</v>
      </c>
      <c r="H44" s="380">
        <f>'2.2.3.9.PrecioCapital'!H63</f>
        <v>0.16378453115615771</v>
      </c>
      <c r="I44" s="380">
        <f>'2.2.3.9.PrecioCapital'!I63</f>
        <v>0.12665714230012193</v>
      </c>
      <c r="J44" s="380">
        <f>'2.2.3.9.PrecioCapital'!J63</f>
        <v>5.7111290563705945E-2</v>
      </c>
      <c r="K44" s="381">
        <f>'2.2.3.9.PrecioCapital'!K63</f>
        <v>0.10882928853880613</v>
      </c>
    </row>
    <row r="45" spans="2:11" ht="15" thickBot="1">
      <c r="B45" s="48" t="s">
        <v>86</v>
      </c>
      <c r="C45" s="382">
        <f>'2.2.3.9.PrecioCapital'!C64</f>
        <v>0.32694372800558208</v>
      </c>
      <c r="D45" s="382">
        <f>'2.2.3.9.PrecioCapital'!D64</f>
        <v>0.30961899912428403</v>
      </c>
      <c r="E45" s="382">
        <f>'2.2.3.9.PrecioCapital'!E64</f>
        <v>0.27295557962396838</v>
      </c>
      <c r="F45" s="382">
        <f>'2.2.3.9.PrecioCapital'!F64</f>
        <v>0.26176281557375819</v>
      </c>
      <c r="G45" s="382">
        <f>'2.2.3.9.PrecioCapital'!G64</f>
        <v>0.25543720709283441</v>
      </c>
      <c r="H45" s="382">
        <f>'2.2.3.9.PrecioCapital'!H64</f>
        <v>0.25843029603434392</v>
      </c>
      <c r="I45" s="382">
        <f>'2.2.3.9.PrecioCapital'!I64</f>
        <v>0.22001740779621135</v>
      </c>
      <c r="J45" s="382">
        <f>'2.2.3.9.PrecioCapital'!J64</f>
        <v>0.1551339796222119</v>
      </c>
      <c r="K45" s="383">
        <f>'2.2.3.9.PrecioCapital'!K64</f>
        <v>0.21060117846082552</v>
      </c>
    </row>
    <row r="47" spans="2:11">
      <c r="B47" s="374" t="s">
        <v>251</v>
      </c>
    </row>
    <row r="48" spans="2:11" ht="15" thickBot="1">
      <c r="B48" s="374"/>
    </row>
    <row r="49" spans="2:11">
      <c r="B49" s="173"/>
      <c r="C49" s="125">
        <v>2015</v>
      </c>
      <c r="D49" s="125">
        <v>2016</v>
      </c>
      <c r="E49" s="125">
        <v>2017</v>
      </c>
      <c r="F49" s="125">
        <v>2018</v>
      </c>
      <c r="G49" s="125">
        <v>2019</v>
      </c>
      <c r="H49" s="125">
        <v>2020</v>
      </c>
      <c r="I49" s="125">
        <v>2021</v>
      </c>
      <c r="J49" s="125">
        <v>2022</v>
      </c>
      <c r="K49" s="126">
        <v>2023</v>
      </c>
    </row>
    <row r="50" spans="2:11">
      <c r="B50" s="212" t="s">
        <v>253</v>
      </c>
      <c r="C50" s="50"/>
      <c r="D50" s="50"/>
      <c r="E50" s="50"/>
      <c r="F50" s="50"/>
      <c r="G50" s="50"/>
      <c r="H50" s="50"/>
      <c r="I50" s="50"/>
      <c r="J50" s="50"/>
      <c r="K50" s="375"/>
    </row>
    <row r="51" spans="2:11">
      <c r="B51" s="175"/>
      <c r="K51" s="174"/>
    </row>
    <row r="52" spans="2:11">
      <c r="B52" s="175" t="s">
        <v>57</v>
      </c>
      <c r="K52" s="174"/>
    </row>
    <row r="53" spans="2:11">
      <c r="B53" s="47" t="s">
        <v>58</v>
      </c>
      <c r="C53" s="327">
        <f>'2.2.1. Mano de Obra'!C11</f>
        <v>113395.10062058426</v>
      </c>
      <c r="D53" s="327">
        <f>'2.2.1. Mano de Obra'!D11</f>
        <v>158827.99226179693</v>
      </c>
      <c r="E53" s="327">
        <f>'2.2.1. Mano de Obra'!E11</f>
        <v>210266.77381176566</v>
      </c>
      <c r="F53" s="327">
        <f>'2.2.1. Mano de Obra'!F11</f>
        <v>220894.26235109149</v>
      </c>
      <c r="G53" s="327">
        <f>'2.2.1. Mano de Obra'!G11</f>
        <v>256277.80551749849</v>
      </c>
      <c r="H53" s="327">
        <f>'2.2.1. Mano de Obra'!H11</f>
        <v>221572.85333333327</v>
      </c>
      <c r="I53" s="327">
        <f>'2.2.1. Mano de Obra'!I11</f>
        <v>174736.89999999994</v>
      </c>
      <c r="J53" s="327">
        <f>'2.2.1. Mano de Obra'!J11</f>
        <v>254069.45000000004</v>
      </c>
      <c r="K53" s="328">
        <f>'2.2.1. Mano de Obra'!K11</f>
        <v>284815.73136363633</v>
      </c>
    </row>
    <row r="54" spans="2:11">
      <c r="B54" s="47" t="s">
        <v>59</v>
      </c>
      <c r="C54" s="327">
        <f>'2.2.1. Mano de Obra'!C12</f>
        <v>47390.180548482313</v>
      </c>
      <c r="D54" s="327">
        <f>'2.2.1. Mano de Obra'!D12</f>
        <v>58370.314347598003</v>
      </c>
      <c r="E54" s="327">
        <f>'2.2.1. Mano de Obra'!E12</f>
        <v>64140.518114636398</v>
      </c>
      <c r="F54" s="327">
        <f>'2.2.1. Mano de Obra'!F12</f>
        <v>83679.106316375255</v>
      </c>
      <c r="G54" s="327">
        <f>'2.2.1. Mano de Obra'!G12</f>
        <v>97082.346175947794</v>
      </c>
      <c r="H54" s="327">
        <f>'2.2.1. Mano de Obra'!H12</f>
        <v>85972.48000000001</v>
      </c>
      <c r="I54" s="327">
        <f>'2.2.1. Mano de Obra'!I12</f>
        <v>73134</v>
      </c>
      <c r="J54" s="327">
        <f>'2.2.1. Mano de Obra'!J12</f>
        <v>81335</v>
      </c>
      <c r="K54" s="328">
        <f>'2.2.1. Mano de Obra'!K12</f>
        <v>97637.178181818192</v>
      </c>
    </row>
    <row r="55" spans="2:11">
      <c r="B55" s="47" t="s">
        <v>60</v>
      </c>
      <c r="C55" s="327">
        <f>'2.2.1. Mano de Obra'!C13</f>
        <v>34996.938830933403</v>
      </c>
      <c r="D55" s="327">
        <f>'2.2.1. Mano de Obra'!D13</f>
        <v>47275.943390605098</v>
      </c>
      <c r="E55" s="327">
        <f>'2.2.1. Mano de Obra'!E13</f>
        <v>59728.198629154009</v>
      </c>
      <c r="F55" s="327">
        <f>'2.2.1. Mano de Obra'!F13</f>
        <v>66294.224665866874</v>
      </c>
      <c r="G55" s="327">
        <f>'2.2.1. Mano de Obra'!G13</f>
        <v>76913.281639887369</v>
      </c>
      <c r="H55" s="327">
        <f>'2.2.1. Mano de Obra'!H13</f>
        <v>25151.800000000003</v>
      </c>
      <c r="I55" s="327">
        <f>'2.2.1. Mano de Obra'!I13</f>
        <v>143600.18333333332</v>
      </c>
      <c r="J55" s="327">
        <f>'2.2.1. Mano de Obra'!J13</f>
        <v>223867</v>
      </c>
      <c r="K55" s="328">
        <f>'2.2.1. Mano de Obra'!K13</f>
        <v>206798.10076516084</v>
      </c>
    </row>
    <row r="56" spans="2:11">
      <c r="B56" s="175"/>
      <c r="C56" s="327"/>
      <c r="D56" s="327"/>
      <c r="E56" s="327"/>
      <c r="F56" s="327"/>
      <c r="G56" s="327"/>
      <c r="H56" s="327"/>
      <c r="I56" s="327"/>
      <c r="J56" s="327"/>
      <c r="K56" s="328"/>
    </row>
    <row r="57" spans="2:11">
      <c r="B57" s="212" t="s">
        <v>252</v>
      </c>
      <c r="C57" s="384"/>
      <c r="D57" s="384"/>
      <c r="E57" s="384"/>
      <c r="F57" s="384"/>
      <c r="G57" s="384"/>
      <c r="H57" s="384"/>
      <c r="I57" s="384"/>
      <c r="J57" s="384"/>
      <c r="K57" s="385"/>
    </row>
    <row r="58" spans="2:11">
      <c r="B58" s="175"/>
      <c r="C58" s="327"/>
      <c r="D58" s="327"/>
      <c r="E58" s="327"/>
      <c r="F58" s="327"/>
      <c r="G58" s="327"/>
      <c r="H58" s="327"/>
      <c r="I58" s="327"/>
      <c r="J58" s="327"/>
      <c r="K58" s="328"/>
    </row>
    <row r="59" spans="2:11">
      <c r="B59" s="175" t="s">
        <v>202</v>
      </c>
      <c r="C59" s="327">
        <f>'2.2.2. Prod. Intermedios'!C30</f>
        <v>5513595.3101608362</v>
      </c>
      <c r="D59" s="327">
        <f>'2.2.2. Prod. Intermedios'!D30</f>
        <v>3844779.46548079</v>
      </c>
      <c r="E59" s="327">
        <f>'2.2.2. Prod. Intermedios'!E30</f>
        <v>5217258.1813030681</v>
      </c>
      <c r="F59" s="327">
        <f>'2.2.2. Prod. Intermedios'!F30</f>
        <v>4840172.0833524289</v>
      </c>
      <c r="G59" s="327">
        <f>'2.2.2. Prod. Intermedios'!G30</f>
        <v>5482179.3336012531</v>
      </c>
      <c r="H59" s="327">
        <f>'2.2.2. Prod. Intermedios'!H30</f>
        <v>9216987.7996516302</v>
      </c>
      <c r="I59" s="327">
        <f>'2.2.2. Prod. Intermedios'!I30</f>
        <v>7866405.1867460553</v>
      </c>
      <c r="J59" s="327">
        <f>'2.2.2. Prod. Intermedios'!J30</f>
        <v>13897247.894295618</v>
      </c>
      <c r="K59" s="328">
        <f>'2.2.2. Prod. Intermedios'!K30</f>
        <v>13728473.527491175</v>
      </c>
    </row>
    <row r="60" spans="2:11">
      <c r="B60" s="175"/>
      <c r="C60" s="327"/>
      <c r="D60" s="327"/>
      <c r="E60" s="327"/>
      <c r="F60" s="327"/>
      <c r="G60" s="327"/>
      <c r="H60" s="327"/>
      <c r="I60" s="327"/>
      <c r="J60" s="327"/>
      <c r="K60" s="328"/>
    </row>
    <row r="61" spans="2:11">
      <c r="B61" s="212" t="s">
        <v>254</v>
      </c>
      <c r="C61" s="384"/>
      <c r="D61" s="384"/>
      <c r="E61" s="384"/>
      <c r="F61" s="384"/>
      <c r="G61" s="384"/>
      <c r="H61" s="384"/>
      <c r="I61" s="384"/>
      <c r="J61" s="384"/>
      <c r="K61" s="385"/>
    </row>
    <row r="62" spans="2:11">
      <c r="B62" s="175"/>
      <c r="C62" s="327"/>
      <c r="D62" s="327"/>
      <c r="E62" s="327"/>
      <c r="F62" s="327"/>
      <c r="G62" s="327"/>
      <c r="H62" s="327"/>
      <c r="I62" s="327"/>
      <c r="J62" s="327"/>
      <c r="K62" s="328"/>
    </row>
    <row r="63" spans="2:11">
      <c r="B63" s="175" t="s">
        <v>94</v>
      </c>
      <c r="C63" s="327"/>
      <c r="D63" s="327"/>
      <c r="E63" s="327"/>
      <c r="F63" s="327"/>
      <c r="G63" s="327"/>
      <c r="H63" s="327"/>
      <c r="I63" s="327"/>
      <c r="J63" s="327"/>
      <c r="K63" s="328"/>
    </row>
    <row r="64" spans="2:11">
      <c r="B64" s="47" t="s">
        <v>95</v>
      </c>
      <c r="C64" s="327">
        <f>'2.2.3.7.CantidadCap'!D8</f>
        <v>99546.482427400944</v>
      </c>
      <c r="D64" s="327">
        <f>'2.2.3.7.CantidadCap'!E8</f>
        <v>105285.99145172161</v>
      </c>
      <c r="E64" s="327">
        <f>'2.2.3.7.CantidadCap'!F8</f>
        <v>101769.43110069272</v>
      </c>
      <c r="F64" s="327">
        <f>'2.2.3.7.CantidadCap'!G8</f>
        <v>192307.49349085949</v>
      </c>
      <c r="G64" s="327">
        <f>'2.2.3.7.CantidadCap'!H8</f>
        <v>267286.85998336662</v>
      </c>
      <c r="H64" s="327">
        <f>'2.2.3.7.CantidadCap'!I8</f>
        <v>227412.68748316591</v>
      </c>
      <c r="I64" s="327">
        <f>'2.2.3.7.CantidadCap'!J8</f>
        <v>280493.53798204765</v>
      </c>
      <c r="J64" s="327">
        <f>'2.2.3.7.CantidadCap'!K8</f>
        <v>297016.82615707349</v>
      </c>
      <c r="K64" s="328">
        <f>'2.2.3.7.CantidadCap'!L8</f>
        <v>297099.21082161146</v>
      </c>
    </row>
    <row r="65" spans="2:11">
      <c r="B65" s="47" t="s">
        <v>96</v>
      </c>
      <c r="C65" s="327">
        <f>'2.2.3.7.CantidadCap'!D9</f>
        <v>707253.27503659658</v>
      </c>
      <c r="D65" s="327">
        <f>'2.2.3.7.CantidadCap'!E9</f>
        <v>2351280.7113221679</v>
      </c>
      <c r="E65" s="327">
        <f>'2.2.3.7.CantidadCap'!F9</f>
        <v>1986341.4432417366</v>
      </c>
      <c r="F65" s="327">
        <f>'2.2.3.7.CantidadCap'!G9</f>
        <v>726119.03370578948</v>
      </c>
      <c r="G65" s="327">
        <f>'2.2.3.7.CantidadCap'!H9</f>
        <v>606864.69398877968</v>
      </c>
      <c r="H65" s="327">
        <f>'2.2.3.7.CantidadCap'!I9</f>
        <v>328230.38390354486</v>
      </c>
      <c r="I65" s="327">
        <f>'2.2.3.7.CantidadCap'!J9</f>
        <v>371717.80895776575</v>
      </c>
      <c r="J65" s="327">
        <f>'2.2.3.7.CantidadCap'!K9</f>
        <v>628564.07179008261</v>
      </c>
      <c r="K65" s="328">
        <f>'2.2.3.7.CantidadCap'!L9</f>
        <v>656414.85710943944</v>
      </c>
    </row>
    <row r="66" spans="2:11">
      <c r="B66" s="47" t="s">
        <v>97</v>
      </c>
      <c r="C66" s="327">
        <f>'2.2.3.7.CantidadCap'!D10</f>
        <v>70824.501740192121</v>
      </c>
      <c r="D66" s="327">
        <f>'2.2.3.7.CantidadCap'!E10</f>
        <v>105176.11568142314</v>
      </c>
      <c r="E66" s="327">
        <f>'2.2.3.7.CantidadCap'!F10</f>
        <v>95456.166362791962</v>
      </c>
      <c r="F66" s="327">
        <f>'2.2.3.7.CantidadCap'!G10</f>
        <v>140815.83961489488</v>
      </c>
      <c r="G66" s="327">
        <f>'2.2.3.7.CantidadCap'!H10</f>
        <v>187202.99294357229</v>
      </c>
      <c r="H66" s="327">
        <f>'2.2.3.7.CantidadCap'!I10</f>
        <v>155671.69649883767</v>
      </c>
      <c r="I66" s="327">
        <f>'2.2.3.7.CantidadCap'!J10</f>
        <v>108926.80806929985</v>
      </c>
      <c r="J66" s="327">
        <f>'2.2.3.7.CantidadCap'!K10</f>
        <v>81819.407058086537</v>
      </c>
      <c r="K66" s="328">
        <f>'2.2.3.7.CantidadCap'!L10</f>
        <v>59090.042586157251</v>
      </c>
    </row>
    <row r="67" spans="2:11">
      <c r="B67" s="47" t="s">
        <v>98</v>
      </c>
      <c r="C67" s="327">
        <f>'2.2.3.7.CantidadCap'!D11</f>
        <v>56581.234841499849</v>
      </c>
      <c r="D67" s="327">
        <f>'2.2.3.7.CantidadCap'!E11</f>
        <v>93214.657798492932</v>
      </c>
      <c r="E67" s="327">
        <f>'2.2.3.7.CantidadCap'!F11</f>
        <v>92812.60572374292</v>
      </c>
      <c r="F67" s="327">
        <f>'2.2.3.7.CantidadCap'!G11</f>
        <v>105446.07710646192</v>
      </c>
      <c r="G67" s="327">
        <f>'2.2.3.7.CantidadCap'!H11</f>
        <v>125840.78029274491</v>
      </c>
      <c r="H67" s="327">
        <f>'2.2.3.7.CantidadCap'!I11</f>
        <v>126495.34086841272</v>
      </c>
      <c r="I67" s="327">
        <f>'2.2.3.7.CantidadCap'!J11</f>
        <v>114330.15592781545</v>
      </c>
      <c r="J67" s="327">
        <f>'2.2.3.7.CantidadCap'!K11</f>
        <v>100097.35623712958</v>
      </c>
      <c r="K67" s="328">
        <f>'2.2.3.7.CantidadCap'!L11</f>
        <v>80888.065632882615</v>
      </c>
    </row>
    <row r="68" spans="2:11">
      <c r="B68" s="47" t="s">
        <v>99</v>
      </c>
      <c r="C68" s="327">
        <f>'2.2.3.7.CantidadCap'!D12</f>
        <v>90988.707612505197</v>
      </c>
      <c r="D68" s="327">
        <f>'2.2.3.7.CantidadCap'!E12</f>
        <v>216379.86418692925</v>
      </c>
      <c r="E68" s="327">
        <f>'2.2.3.7.CantidadCap'!F12</f>
        <v>343671.37006036495</v>
      </c>
      <c r="F68" s="327">
        <f>'2.2.3.7.CantidadCap'!G12</f>
        <v>415983.6420385908</v>
      </c>
      <c r="G68" s="327">
        <f>'2.2.3.7.CantidadCap'!H12</f>
        <v>496596.36560057034</v>
      </c>
      <c r="H68" s="327">
        <f>'2.2.3.7.CantidadCap'!I12</f>
        <v>597681.1867080736</v>
      </c>
      <c r="I68" s="327">
        <f>'2.2.3.7.CantidadCap'!J12</f>
        <v>562537.49429224886</v>
      </c>
      <c r="J68" s="327">
        <f>'2.2.3.7.CantidadCap'!K12</f>
        <v>432856.84924694838</v>
      </c>
      <c r="K68" s="328">
        <f>'2.2.3.7.CantidadCap'!L12</f>
        <v>407310.55293204571</v>
      </c>
    </row>
    <row r="69" spans="2:11">
      <c r="B69" s="47" t="s">
        <v>100</v>
      </c>
      <c r="C69" s="327">
        <f>'2.2.3.7.CantidadCap'!D13</f>
        <v>33334.057938373546</v>
      </c>
      <c r="D69" s="327">
        <f>'2.2.3.7.CantidadCap'!E13</f>
        <v>60482.612041504559</v>
      </c>
      <c r="E69" s="327">
        <f>'2.2.3.7.CantidadCap'!F13</f>
        <v>89588.943078041935</v>
      </c>
      <c r="F69" s="327">
        <f>'2.2.3.7.CantidadCap'!G13</f>
        <v>93465.025875956213</v>
      </c>
      <c r="G69" s="327">
        <f>'2.2.3.7.CantidadCap'!H13</f>
        <v>69161.935345408638</v>
      </c>
      <c r="H69" s="327">
        <f>'2.2.3.7.CantidadCap'!I13</f>
        <v>46990.466693987561</v>
      </c>
      <c r="I69" s="327">
        <f>'2.2.3.7.CantidadCap'!J13</f>
        <v>28548.146125946027</v>
      </c>
      <c r="J69" s="327">
        <f>'2.2.3.7.CantidadCap'!K13</f>
        <v>24396.158054322314</v>
      </c>
      <c r="K69" s="328">
        <f>'2.2.3.7.CantidadCap'!L13</f>
        <v>23959.906602386109</v>
      </c>
    </row>
    <row r="70" spans="2:11">
      <c r="B70" s="175" t="s">
        <v>222</v>
      </c>
      <c r="C70" s="327"/>
      <c r="D70" s="327"/>
      <c r="E70" s="327"/>
      <c r="F70" s="327"/>
      <c r="G70" s="327"/>
      <c r="H70" s="327"/>
      <c r="I70" s="327"/>
      <c r="J70" s="327"/>
      <c r="K70" s="328"/>
    </row>
    <row r="71" spans="2:11">
      <c r="B71" s="47" t="s">
        <v>101</v>
      </c>
      <c r="C71" s="327">
        <f>'2.2.3.7.CantidadCap'!D15</f>
        <v>15951.78138328567</v>
      </c>
      <c r="D71" s="327">
        <f>'2.2.3.7.CantidadCap'!E15</f>
        <v>28654.841221385657</v>
      </c>
      <c r="E71" s="327">
        <f>'2.2.3.7.CantidadCap'!F15</f>
        <v>44766.542257041554</v>
      </c>
      <c r="F71" s="327">
        <f>'2.2.3.7.CantidadCap'!G15</f>
        <v>36324.275573067731</v>
      </c>
      <c r="G71" s="327">
        <f>'2.2.3.7.CantidadCap'!H15</f>
        <v>14040.129614145237</v>
      </c>
      <c r="H71" s="327">
        <f>'2.2.3.7.CantidadCap'!I15</f>
        <v>22003.236793033553</v>
      </c>
      <c r="I71" s="327">
        <f>'2.2.3.7.CantidadCap'!J15</f>
        <v>23253.407286402537</v>
      </c>
      <c r="J71" s="327">
        <f>'2.2.3.7.CantidadCap'!K15</f>
        <v>31885.441114465859</v>
      </c>
      <c r="K71" s="328">
        <f>'2.2.3.7.CantidadCap'!L15</f>
        <v>28735.297373270609</v>
      </c>
    </row>
    <row r="72" spans="2:11">
      <c r="B72" s="47" t="s">
        <v>102</v>
      </c>
      <c r="C72" s="327">
        <f>'2.2.3.7.CantidadCap'!D16</f>
        <v>1169204.618794075</v>
      </c>
      <c r="D72" s="327">
        <f>'2.2.3.7.CantidadCap'!E16</f>
        <v>1163896.6491991815</v>
      </c>
      <c r="E72" s="327">
        <f>'2.2.3.7.CantidadCap'!F16</f>
        <v>2576617.0255808914</v>
      </c>
      <c r="F72" s="327">
        <f>'2.2.3.7.CantidadCap'!G16</f>
        <v>4257009.8476420688</v>
      </c>
      <c r="G72" s="327">
        <f>'2.2.3.7.CantidadCap'!H16</f>
        <v>36683646.7823136</v>
      </c>
      <c r="H72" s="327">
        <f>'2.2.3.7.CantidadCap'!I16</f>
        <v>132023435.28723383</v>
      </c>
      <c r="I72" s="327">
        <f>'2.2.3.7.CantidadCap'!J16</f>
        <v>198167190.56223124</v>
      </c>
      <c r="J72" s="327">
        <f>'2.2.3.7.CantidadCap'!K16</f>
        <v>192118478.52618074</v>
      </c>
      <c r="K72" s="328">
        <f>'2.2.3.7.CantidadCap'!L16</f>
        <v>177815063.99017555</v>
      </c>
    </row>
    <row r="73" spans="2:11">
      <c r="B73" s="175" t="s">
        <v>223</v>
      </c>
      <c r="C73" s="327"/>
      <c r="D73" s="327"/>
      <c r="E73" s="327"/>
      <c r="F73" s="327"/>
      <c r="G73" s="327"/>
      <c r="H73" s="327"/>
      <c r="I73" s="327"/>
      <c r="J73" s="327"/>
      <c r="K73" s="328"/>
    </row>
    <row r="74" spans="2:11">
      <c r="B74" s="47" t="s">
        <v>85</v>
      </c>
      <c r="C74" s="327">
        <f>'2.2.3.7.CantidadCap'!D18</f>
        <v>16901839.735050831</v>
      </c>
      <c r="D74" s="327">
        <f>'2.2.3.7.CantidadCap'!E18</f>
        <v>16720910.189216422</v>
      </c>
      <c r="E74" s="327">
        <f>'2.2.3.7.CantidadCap'!F18</f>
        <v>16157501.537959114</v>
      </c>
      <c r="F74" s="327">
        <f>'2.2.3.7.CantidadCap'!G18</f>
        <v>15505609.252361182</v>
      </c>
      <c r="G74" s="327">
        <f>'2.2.3.7.CantidadCap'!H18</f>
        <v>14939505.363352917</v>
      </c>
      <c r="H74" s="327">
        <f>'2.2.3.7.CantidadCap'!I18</f>
        <v>14431896.421796486</v>
      </c>
      <c r="I74" s="327">
        <f>'2.2.3.7.CantidadCap'!J18</f>
        <v>14016363.151664617</v>
      </c>
      <c r="J74" s="327">
        <f>'2.2.3.7.CantidadCap'!K18</f>
        <v>13199402.797687912</v>
      </c>
      <c r="K74" s="328">
        <f>'2.2.3.7.CantidadCap'!L18</f>
        <v>12077563.851358168</v>
      </c>
    </row>
    <row r="75" spans="2:11" ht="15" thickBot="1">
      <c r="B75" s="48" t="s">
        <v>86</v>
      </c>
      <c r="C75" s="329">
        <f>'2.2.3.7.CantidadCap'!D19</f>
        <v>0</v>
      </c>
      <c r="D75" s="329">
        <f>'2.2.3.7.CantidadCap'!E19</f>
        <v>0</v>
      </c>
      <c r="E75" s="329">
        <f>'2.2.3.7.CantidadCap'!F19</f>
        <v>0</v>
      </c>
      <c r="F75" s="329">
        <f>'2.2.3.7.CantidadCap'!G19</f>
        <v>0</v>
      </c>
      <c r="G75" s="329">
        <f>'2.2.3.7.CantidadCap'!H19</f>
        <v>0</v>
      </c>
      <c r="H75" s="329">
        <f>'2.2.3.7.CantidadCap'!I19</f>
        <v>0</v>
      </c>
      <c r="I75" s="329">
        <f>'2.2.3.7.CantidadCap'!J19</f>
        <v>0</v>
      </c>
      <c r="J75" s="329">
        <f>'2.2.3.7.CantidadCap'!K19</f>
        <v>0</v>
      </c>
      <c r="K75" s="330">
        <f>'2.2.3.7.CantidadCap'!L19</f>
        <v>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741F9-463D-4B4C-B024-69B9C73C8FAA}">
  <sheetPr>
    <tabColor theme="7" tint="-0.249977111117893"/>
  </sheetPr>
  <dimension ref="B1:O13"/>
  <sheetViews>
    <sheetView showGridLines="0" zoomScale="90" zoomScaleNormal="90" workbookViewId="0">
      <selection activeCell="J27" sqref="J27"/>
    </sheetView>
  </sheetViews>
  <sheetFormatPr baseColWidth="10" defaultColWidth="11.453125" defaultRowHeight="14.5"/>
  <cols>
    <col min="1" max="1" width="11.453125" style="3"/>
    <col min="2" max="2" width="30.81640625" style="3" customWidth="1"/>
    <col min="3" max="16384" width="11.453125" style="3"/>
  </cols>
  <sheetData>
    <row r="1" spans="2:15">
      <c r="J1" s="411">
        <f>'1. Factor X'!D15</f>
        <v>-5.4635196730062507E-2</v>
      </c>
    </row>
    <row r="6" spans="2:15">
      <c r="B6" s="2" t="s">
        <v>170</v>
      </c>
    </row>
    <row r="8" spans="2:15" ht="15" thickBot="1"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</row>
    <row r="9" spans="2:15">
      <c r="B9" s="249"/>
      <c r="C9" s="125">
        <v>2016</v>
      </c>
      <c r="D9" s="125">
        <v>2017</v>
      </c>
      <c r="E9" s="125">
        <v>2018</v>
      </c>
      <c r="F9" s="125">
        <v>2019</v>
      </c>
      <c r="G9" s="125">
        <v>2020</v>
      </c>
      <c r="H9" s="125">
        <v>2021</v>
      </c>
      <c r="I9" s="125">
        <v>2022</v>
      </c>
      <c r="J9" s="126">
        <v>2023</v>
      </c>
    </row>
    <row r="10" spans="2:15" ht="15" thickBot="1">
      <c r="B10" s="233" t="s">
        <v>171</v>
      </c>
      <c r="C10" s="234">
        <v>6.0999999999999995E-3</v>
      </c>
      <c r="D10" s="234">
        <v>-8.6999999999999994E-3</v>
      </c>
      <c r="E10" s="234">
        <v>6.8000000000000005E-3</v>
      </c>
      <c r="F10" s="234">
        <v>-1.37E-2</v>
      </c>
      <c r="G10" s="234">
        <v>3.1200000000000002E-2</v>
      </c>
      <c r="H10" s="234">
        <v>-8.6699999999999999E-2</v>
      </c>
      <c r="I10" s="234">
        <v>-2.5499999999999998E-2</v>
      </c>
      <c r="J10" s="235">
        <v>3.4999999999999996E-3</v>
      </c>
    </row>
    <row r="11" spans="2:15">
      <c r="B11" s="109" t="s">
        <v>172</v>
      </c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</row>
    <row r="12" spans="2:15" ht="15" thickBot="1">
      <c r="B12" s="109"/>
    </row>
    <row r="13" spans="2:15" ht="15" thickBot="1">
      <c r="B13" s="281" t="s">
        <v>264</v>
      </c>
      <c r="C13" s="282">
        <f>AVERAGE(C10:J10)</f>
        <v>-1.0874999999999999E-2</v>
      </c>
    </row>
  </sheetData>
  <pageMargins left="0.7" right="0.7" top="0.75" bottom="0.75" header="0.3" footer="0.3"/>
  <ignoredErrors>
    <ignoredError sqref="C1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F0DE0-28EE-482D-8FA6-4003AADD629B}">
  <sheetPr>
    <tabColor theme="7" tint="-0.249977111117893"/>
  </sheetPr>
  <dimension ref="A1:Q58"/>
  <sheetViews>
    <sheetView showGridLines="0" zoomScale="90" zoomScaleNormal="90" workbookViewId="0">
      <selection activeCell="D48" sqref="D48"/>
    </sheetView>
  </sheetViews>
  <sheetFormatPr baseColWidth="10" defaultColWidth="0" defaultRowHeight="14.5" zeroHeight="1"/>
  <cols>
    <col min="1" max="1" width="13.1796875" style="4" customWidth="1"/>
    <col min="2" max="2" width="64.453125" style="236" customWidth="1"/>
    <col min="3" max="13" width="12" style="4" customWidth="1"/>
    <col min="14" max="14" width="13.1796875" style="4" customWidth="1"/>
    <col min="15" max="17" width="0" style="4" hidden="1" customWidth="1"/>
    <col min="18" max="16384" width="13.1796875" style="4" hidden="1"/>
  </cols>
  <sheetData>
    <row r="1" spans="1:11">
      <c r="F1" s="525">
        <f>'1. Factor X'!D15</f>
        <v>-5.4635196730062507E-2</v>
      </c>
    </row>
    <row r="2" spans="1:11">
      <c r="A2" s="237"/>
    </row>
    <row r="3" spans="1:11"/>
    <row r="4" spans="1:11">
      <c r="B4" s="2" t="s">
        <v>173</v>
      </c>
    </row>
    <row r="5" spans="1:11"/>
    <row r="6" spans="1:11" ht="15" thickBot="1">
      <c r="B6" s="238" t="s">
        <v>174</v>
      </c>
    </row>
    <row r="7" spans="1:11">
      <c r="B7" s="273"/>
      <c r="C7" s="274">
        <v>2015</v>
      </c>
      <c r="D7" s="274">
        <v>2016</v>
      </c>
      <c r="E7" s="274">
        <v>2017</v>
      </c>
      <c r="F7" s="274">
        <v>2018</v>
      </c>
      <c r="G7" s="274">
        <v>2019</v>
      </c>
      <c r="H7" s="274">
        <v>2020</v>
      </c>
      <c r="I7" s="274">
        <v>2021</v>
      </c>
      <c r="J7" s="274">
        <v>2022</v>
      </c>
      <c r="K7" s="275">
        <v>2023</v>
      </c>
    </row>
    <row r="8" spans="1:11">
      <c r="B8" s="261" t="s">
        <v>175</v>
      </c>
      <c r="C8" s="239">
        <v>7.98</v>
      </c>
      <c r="D8" s="239">
        <v>8.81</v>
      </c>
      <c r="E8" s="239">
        <v>8.74</v>
      </c>
      <c r="F8" s="239">
        <v>8.84</v>
      </c>
      <c r="G8" s="239">
        <v>9.18</v>
      </c>
      <c r="H8" s="239">
        <v>8.19</v>
      </c>
      <c r="I8" s="239">
        <v>8.2100000000000009</v>
      </c>
      <c r="J8" s="239">
        <v>9.1999999999999993</v>
      </c>
      <c r="K8" s="276">
        <v>9.9499999999999993</v>
      </c>
    </row>
    <row r="9" spans="1:11">
      <c r="B9" s="261" t="s">
        <v>176</v>
      </c>
      <c r="C9" s="240">
        <v>3.3246396825396829</v>
      </c>
      <c r="D9" s="240">
        <v>3.3969415204678364</v>
      </c>
      <c r="E9" s="240">
        <v>3.2477012227538542</v>
      </c>
      <c r="F9" s="239">
        <v>3.3594931419457743</v>
      </c>
      <c r="G9" s="240">
        <v>3.3642015873015869</v>
      </c>
      <c r="H9" s="239">
        <v>3.6047496392496394</v>
      </c>
      <c r="I9" s="240">
        <v>4.0281171717171711</v>
      </c>
      <c r="J9" s="239">
        <v>3.8991992063492056</v>
      </c>
      <c r="K9" s="276">
        <v>3.76</v>
      </c>
    </row>
    <row r="10" spans="1:11">
      <c r="B10" s="261" t="s">
        <v>177</v>
      </c>
      <c r="C10" s="239">
        <f t="shared" ref="C10:K10" si="0">+C8/C9</f>
        <v>2.4002601069551397</v>
      </c>
      <c r="D10" s="239">
        <f t="shared" si="0"/>
        <v>2.5935094693024512</v>
      </c>
      <c r="E10" s="239">
        <f t="shared" si="0"/>
        <v>2.6911342517489985</v>
      </c>
      <c r="F10" s="239">
        <f t="shared" si="0"/>
        <v>2.6313493216062906</v>
      </c>
      <c r="G10" s="239">
        <f t="shared" si="0"/>
        <v>2.7287306547415437</v>
      </c>
      <c r="H10" s="239">
        <f t="shared" si="0"/>
        <v>2.2720024466677859</v>
      </c>
      <c r="I10" s="239">
        <f t="shared" si="0"/>
        <v>2.0381730843495074</v>
      </c>
      <c r="J10" s="239">
        <f t="shared" si="0"/>
        <v>2.3594588306797228</v>
      </c>
      <c r="K10" s="276">
        <f t="shared" si="0"/>
        <v>2.646276595744681</v>
      </c>
    </row>
    <row r="11" spans="1:11" ht="15" thickBot="1">
      <c r="B11" s="270" t="s">
        <v>178</v>
      </c>
      <c r="C11" s="271"/>
      <c r="D11" s="271">
        <f t="shared" ref="D11:K11" si="1">D10/C10-1</f>
        <v>8.0511841940521522E-2</v>
      </c>
      <c r="E11" s="271">
        <f t="shared" si="1"/>
        <v>3.7641961057811146E-2</v>
      </c>
      <c r="F11" s="271">
        <f t="shared" si="1"/>
        <v>-2.2215513813126475E-2</v>
      </c>
      <c r="G11" s="271">
        <f t="shared" si="1"/>
        <v>3.7008135839527112E-2</v>
      </c>
      <c r="H11" s="271">
        <f t="shared" si="1"/>
        <v>-0.1673775340487087</v>
      </c>
      <c r="I11" s="271">
        <f t="shared" si="1"/>
        <v>-0.10291774230314865</v>
      </c>
      <c r="J11" s="271">
        <f t="shared" si="1"/>
        <v>0.15763418170775978</v>
      </c>
      <c r="K11" s="272">
        <f t="shared" si="1"/>
        <v>0.12156082629436282</v>
      </c>
    </row>
    <row r="12" spans="1:11">
      <c r="B12" s="241"/>
      <c r="C12" s="241"/>
      <c r="D12" s="241"/>
      <c r="E12" s="241"/>
      <c r="F12" s="241"/>
      <c r="G12" s="241"/>
      <c r="H12" s="241"/>
      <c r="I12" s="241"/>
      <c r="J12" s="241"/>
      <c r="K12" s="241"/>
    </row>
    <row r="13" spans="1:11" ht="15" thickBot="1">
      <c r="B13" s="238" t="s">
        <v>179</v>
      </c>
      <c r="C13" s="241"/>
      <c r="D13" s="241"/>
      <c r="E13" s="241"/>
      <c r="F13" s="241"/>
      <c r="G13" s="241"/>
      <c r="H13" s="241"/>
      <c r="I13" s="241"/>
      <c r="J13" s="241"/>
      <c r="K13" s="241"/>
    </row>
    <row r="14" spans="1:11">
      <c r="B14" s="273"/>
      <c r="C14" s="274">
        <v>2015</v>
      </c>
      <c r="D14" s="274">
        <v>2016</v>
      </c>
      <c r="E14" s="274">
        <v>2017</v>
      </c>
      <c r="F14" s="274">
        <v>2018</v>
      </c>
      <c r="G14" s="274">
        <v>2019</v>
      </c>
      <c r="H14" s="274">
        <v>2020</v>
      </c>
      <c r="I14" s="274">
        <v>2021</v>
      </c>
      <c r="J14" s="274">
        <v>2022</v>
      </c>
      <c r="K14" s="275">
        <v>2023</v>
      </c>
    </row>
    <row r="15" spans="1:11">
      <c r="B15" s="261"/>
      <c r="C15" s="242"/>
      <c r="D15" s="242"/>
      <c r="E15" s="242"/>
      <c r="F15" s="242"/>
      <c r="G15" s="242"/>
      <c r="H15" s="242"/>
      <c r="I15" s="242"/>
      <c r="J15" s="242"/>
      <c r="K15" s="262"/>
    </row>
    <row r="16" spans="1:11">
      <c r="B16" s="261" t="s">
        <v>180</v>
      </c>
      <c r="C16" s="528">
        <v>114.870019</v>
      </c>
      <c r="D16" s="528">
        <v>115.929575</v>
      </c>
      <c r="E16" s="528">
        <v>111.97458399999999</v>
      </c>
      <c r="F16" s="528">
        <v>115.340603</v>
      </c>
      <c r="G16" s="528">
        <v>116.151459</v>
      </c>
      <c r="H16" s="528">
        <v>121.71768299999999</v>
      </c>
      <c r="I16" s="528">
        <v>137.10178199999999</v>
      </c>
      <c r="J16" s="528">
        <v>137.56364300000001</v>
      </c>
      <c r="K16" s="263">
        <v>137.79765800000001</v>
      </c>
    </row>
    <row r="17" spans="2:11">
      <c r="B17" s="261" t="s">
        <v>181</v>
      </c>
      <c r="C17" s="528">
        <v>105.79188499999999</v>
      </c>
      <c r="D17" s="528">
        <v>109.168869</v>
      </c>
      <c r="E17" s="528">
        <v>112.010761</v>
      </c>
      <c r="F17" s="528">
        <v>115.794792</v>
      </c>
      <c r="G17" s="528">
        <v>115.087805</v>
      </c>
      <c r="H17" s="528">
        <v>120.82723</v>
      </c>
      <c r="I17" s="528">
        <v>139.42863</v>
      </c>
      <c r="J17" s="528">
        <v>146.077395</v>
      </c>
      <c r="K17" s="263">
        <v>144.040176</v>
      </c>
    </row>
    <row r="18" spans="2:11" ht="6.65" customHeight="1">
      <c r="B18" s="261"/>
      <c r="C18" s="528"/>
      <c r="D18" s="528"/>
      <c r="E18" s="528"/>
      <c r="F18" s="528"/>
      <c r="G18" s="528"/>
      <c r="H18" s="528"/>
      <c r="I18" s="528"/>
      <c r="J18" s="528"/>
      <c r="K18" s="263"/>
    </row>
    <row r="19" spans="2:11">
      <c r="B19" s="261" t="s">
        <v>402</v>
      </c>
      <c r="C19" s="529">
        <f t="shared" ref="C19:K19" si="2">+(C16/$C$16)*100</f>
        <v>100</v>
      </c>
      <c r="D19" s="529">
        <f t="shared" si="2"/>
        <v>100.92239559915109</v>
      </c>
      <c r="E19" s="529">
        <f t="shared" si="2"/>
        <v>97.479381456357203</v>
      </c>
      <c r="F19" s="529">
        <f t="shared" si="2"/>
        <v>100.4096665118511</v>
      </c>
      <c r="G19" s="529">
        <f t="shared" si="2"/>
        <v>101.11555653177004</v>
      </c>
      <c r="H19" s="529">
        <f t="shared" si="2"/>
        <v>105.96122822962187</v>
      </c>
      <c r="I19" s="529">
        <f t="shared" si="2"/>
        <v>119.35384288567062</v>
      </c>
      <c r="J19" s="529">
        <f t="shared" si="2"/>
        <v>119.75591559708893</v>
      </c>
      <c r="K19" s="531">
        <f t="shared" si="2"/>
        <v>119.95963716172105</v>
      </c>
    </row>
    <row r="20" spans="2:11">
      <c r="B20" s="261" t="s">
        <v>403</v>
      </c>
      <c r="C20" s="529">
        <f t="shared" ref="C20:K20" si="3">+(C17/$C$17)*100</f>
        <v>100</v>
      </c>
      <c r="D20" s="529">
        <f t="shared" si="3"/>
        <v>103.19210117108699</v>
      </c>
      <c r="E20" s="529">
        <f t="shared" si="3"/>
        <v>105.87840551286141</v>
      </c>
      <c r="F20" s="529">
        <f t="shared" si="3"/>
        <v>109.45526870988263</v>
      </c>
      <c r="G20" s="529">
        <f t="shared" si="3"/>
        <v>108.78698777321154</v>
      </c>
      <c r="H20" s="529">
        <f t="shared" si="3"/>
        <v>114.21219122808901</v>
      </c>
      <c r="I20" s="529">
        <f t="shared" si="3"/>
        <v>131.79520338445622</v>
      </c>
      <c r="J20" s="529">
        <f t="shared" si="3"/>
        <v>138.07996237140497</v>
      </c>
      <c r="K20" s="531">
        <f t="shared" si="3"/>
        <v>136.15427686159484</v>
      </c>
    </row>
    <row r="21" spans="2:11" ht="5.25" customHeight="1">
      <c r="B21" s="261"/>
      <c r="K21" s="264"/>
    </row>
    <row r="22" spans="2:11">
      <c r="B22" s="261" t="s">
        <v>182</v>
      </c>
      <c r="C22" s="528">
        <v>3.3850952380952384</v>
      </c>
      <c r="D22" s="528">
        <v>3.3979523809523817</v>
      </c>
      <c r="E22" s="528">
        <v>3.2483157894736845</v>
      </c>
      <c r="F22" s="528">
        <v>3.3663157894736839</v>
      </c>
      <c r="G22" s="528">
        <v>3.3573809523809524</v>
      </c>
      <c r="H22" s="528">
        <v>3.6055714285714284</v>
      </c>
      <c r="I22" s="528">
        <v>4.0423181818181817</v>
      </c>
      <c r="J22" s="528">
        <v>3.8345499999999992</v>
      </c>
      <c r="K22" s="265">
        <v>3.7090000000000001</v>
      </c>
    </row>
    <row r="23" spans="2:11">
      <c r="B23" s="261" t="s">
        <v>401</v>
      </c>
      <c r="C23" s="243">
        <f t="shared" ref="C23:K23" si="4">+(C22/$C$22)*100</f>
        <v>100</v>
      </c>
      <c r="D23" s="243">
        <f t="shared" si="4"/>
        <v>100.37981628145796</v>
      </c>
      <c r="E23" s="243">
        <f t="shared" si="4"/>
        <v>95.959361879031846</v>
      </c>
      <c r="F23" s="243">
        <f t="shared" si="4"/>
        <v>99.445231306634625</v>
      </c>
      <c r="G23" s="243">
        <f t="shared" si="4"/>
        <v>99.181284904412891</v>
      </c>
      <c r="H23" s="243">
        <f t="shared" si="4"/>
        <v>106.51314586351934</v>
      </c>
      <c r="I23" s="243">
        <f t="shared" si="4"/>
        <v>119.41519802239765</v>
      </c>
      <c r="J23" s="243">
        <f t="shared" si="4"/>
        <v>113.27746282723983</v>
      </c>
      <c r="K23" s="531">
        <f t="shared" si="4"/>
        <v>109.56855683880316</v>
      </c>
    </row>
    <row r="24" spans="2:11" ht="5.25" customHeight="1">
      <c r="B24" s="261"/>
      <c r="C24" s="242"/>
      <c r="D24" s="242"/>
      <c r="E24" s="242"/>
      <c r="F24" s="530"/>
      <c r="G24" s="242"/>
      <c r="H24" s="530"/>
      <c r="I24" s="242"/>
      <c r="J24" s="530"/>
      <c r="K24" s="262"/>
    </row>
    <row r="25" spans="2:11">
      <c r="B25" s="261" t="s">
        <v>404</v>
      </c>
      <c r="C25" s="243">
        <f t="shared" ref="C25:K25" si="5">+(C19/C23)*100</f>
        <v>100</v>
      </c>
      <c r="D25" s="243">
        <f t="shared" si="5"/>
        <v>100.54052631075929</v>
      </c>
      <c r="E25" s="243">
        <f t="shared" si="5"/>
        <v>101.58402426564854</v>
      </c>
      <c r="F25" s="243">
        <f t="shared" si="5"/>
        <v>100.96981543764798</v>
      </c>
      <c r="G25" s="243">
        <f t="shared" si="5"/>
        <v>101.95023852455766</v>
      </c>
      <c r="H25" s="243">
        <f t="shared" si="5"/>
        <v>99.481831440219906</v>
      </c>
      <c r="I25" s="243">
        <f t="shared" si="5"/>
        <v>99.948620328280555</v>
      </c>
      <c r="J25" s="243">
        <f t="shared" si="5"/>
        <v>105.71910122998555</v>
      </c>
      <c r="K25" s="531">
        <f t="shared" si="5"/>
        <v>109.48363346448488</v>
      </c>
    </row>
    <row r="26" spans="2:11">
      <c r="B26" s="266" t="s">
        <v>405</v>
      </c>
      <c r="C26" s="244">
        <f t="shared" ref="C26:K26" si="6">+(C20/C23)*100</f>
        <v>100</v>
      </c>
      <c r="D26" s="244">
        <f t="shared" si="6"/>
        <v>102.80164379036476</v>
      </c>
      <c r="E26" s="244">
        <f t="shared" si="6"/>
        <v>110.33671279133108</v>
      </c>
      <c r="F26" s="244">
        <f t="shared" si="6"/>
        <v>110.06587975282851</v>
      </c>
      <c r="G26" s="244">
        <f t="shared" si="6"/>
        <v>109.6849953880475</v>
      </c>
      <c r="H26" s="244">
        <f t="shared" si="6"/>
        <v>107.22825835454606</v>
      </c>
      <c r="I26" s="244">
        <f t="shared" si="6"/>
        <v>110.3671940984736</v>
      </c>
      <c r="J26" s="244">
        <f t="shared" si="6"/>
        <v>121.89535228379151</v>
      </c>
      <c r="K26" s="532">
        <f t="shared" si="6"/>
        <v>124.2640049205946</v>
      </c>
    </row>
    <row r="27" spans="2:11">
      <c r="B27" s="261"/>
      <c r="C27" s="242"/>
      <c r="D27" s="242"/>
      <c r="E27" s="242"/>
      <c r="F27" s="530"/>
      <c r="G27" s="242"/>
      <c r="H27" s="530"/>
      <c r="I27" s="242"/>
      <c r="J27" s="530"/>
      <c r="K27" s="262"/>
    </row>
    <row r="28" spans="2:11">
      <c r="B28" s="267" t="s">
        <v>183</v>
      </c>
      <c r="C28" s="242"/>
      <c r="D28" s="242"/>
      <c r="E28" s="242"/>
      <c r="F28" s="530"/>
      <c r="G28" s="242"/>
      <c r="H28" s="530"/>
      <c r="I28" s="242"/>
      <c r="J28" s="530"/>
      <c r="K28" s="262"/>
    </row>
    <row r="29" spans="2:11">
      <c r="B29" s="261" t="s">
        <v>184</v>
      </c>
      <c r="C29" s="245"/>
      <c r="D29" s="245">
        <f t="shared" ref="D29:K29" si="7">+D25/C25-1</f>
        <v>5.4052631075929281E-3</v>
      </c>
      <c r="E29" s="245">
        <f t="shared" si="7"/>
        <v>1.0378878977258532E-2</v>
      </c>
      <c r="F29" s="245">
        <f t="shared" si="7"/>
        <v>-6.0463132115573526E-3</v>
      </c>
      <c r="G29" s="245">
        <f t="shared" si="7"/>
        <v>9.7100611966070005E-3</v>
      </c>
      <c r="H29" s="245">
        <f t="shared" si="7"/>
        <v>-2.4211881404702873E-2</v>
      </c>
      <c r="I29" s="245">
        <f t="shared" si="7"/>
        <v>4.6922023981952332E-3</v>
      </c>
      <c r="J29" s="245">
        <f t="shared" si="7"/>
        <v>5.7734472799643388E-2</v>
      </c>
      <c r="K29" s="268">
        <f t="shared" si="7"/>
        <v>3.5608817996946485E-2</v>
      </c>
    </row>
    <row r="30" spans="2:11">
      <c r="B30" s="269" t="s">
        <v>185</v>
      </c>
      <c r="C30" s="246"/>
      <c r="D30" s="246">
        <v>0.40835775807814723</v>
      </c>
      <c r="E30" s="246">
        <v>0.40123758200978349</v>
      </c>
      <c r="F30" s="246">
        <v>0.39706767235899826</v>
      </c>
      <c r="G30" s="246">
        <v>0.4086541630957875</v>
      </c>
      <c r="H30" s="246">
        <v>0.3998391226297564</v>
      </c>
      <c r="I30" s="246">
        <v>0.3872625500040669</v>
      </c>
      <c r="J30" s="246">
        <v>0.37184385564787592</v>
      </c>
      <c r="K30" s="255">
        <v>0.38250365527374158</v>
      </c>
    </row>
    <row r="31" spans="2:11" ht="6" customHeight="1">
      <c r="B31" s="269"/>
      <c r="C31" s="246"/>
      <c r="D31" s="246"/>
      <c r="E31" s="246"/>
      <c r="F31" s="530"/>
      <c r="G31" s="246"/>
      <c r="H31" s="530"/>
      <c r="I31" s="246"/>
      <c r="J31" s="530"/>
      <c r="K31" s="255"/>
    </row>
    <row r="32" spans="2:11">
      <c r="B32" s="267" t="s">
        <v>186</v>
      </c>
      <c r="C32" s="247"/>
      <c r="D32" s="247"/>
      <c r="E32" s="247"/>
      <c r="F32" s="530"/>
      <c r="G32" s="247"/>
      <c r="H32" s="530"/>
      <c r="I32" s="247"/>
      <c r="J32" s="530"/>
      <c r="K32" s="257"/>
    </row>
    <row r="33" spans="2:13">
      <c r="B33" s="261" t="s">
        <v>187</v>
      </c>
      <c r="C33" s="245"/>
      <c r="D33" s="245">
        <f t="shared" ref="D33:K33" si="8">+D26/C26-1</f>
        <v>2.8016437903647606E-2</v>
      </c>
      <c r="E33" s="245">
        <f t="shared" si="8"/>
        <v>7.3297164550520044E-2</v>
      </c>
      <c r="F33" s="245">
        <f t="shared" si="8"/>
        <v>-2.4546049238821643E-3</v>
      </c>
      <c r="G33" s="245">
        <f t="shared" si="8"/>
        <v>-3.4605126096874939E-3</v>
      </c>
      <c r="H33" s="245">
        <f t="shared" si="8"/>
        <v>-2.239811402471148E-2</v>
      </c>
      <c r="I33" s="245">
        <f t="shared" si="8"/>
        <v>2.9273400427234142E-2</v>
      </c>
      <c r="J33" s="245">
        <f t="shared" si="8"/>
        <v>0.10445276134348469</v>
      </c>
      <c r="K33" s="268">
        <f t="shared" si="8"/>
        <v>1.9431853572960733E-2</v>
      </c>
    </row>
    <row r="34" spans="2:13">
      <c r="B34" s="269" t="s">
        <v>188</v>
      </c>
      <c r="C34" s="246"/>
      <c r="D34" s="246">
        <f>1-D30</f>
        <v>0.59164224192185277</v>
      </c>
      <c r="E34" s="246">
        <f>1-E30</f>
        <v>0.59876241799021646</v>
      </c>
      <c r="F34" s="246">
        <f>1-F30</f>
        <v>0.60293232764100169</v>
      </c>
      <c r="G34" s="246">
        <f t="shared" ref="G34:K34" si="9">1-G30</f>
        <v>0.5913458369042125</v>
      </c>
      <c r="H34" s="246">
        <f t="shared" si="9"/>
        <v>0.6001608773702436</v>
      </c>
      <c r="I34" s="246">
        <f t="shared" si="9"/>
        <v>0.61273744999593305</v>
      </c>
      <c r="J34" s="246">
        <f t="shared" si="9"/>
        <v>0.62815614435212408</v>
      </c>
      <c r="K34" s="255">
        <f t="shared" si="9"/>
        <v>0.61749634472625847</v>
      </c>
    </row>
    <row r="35" spans="2:13">
      <c r="B35" s="269"/>
      <c r="C35" s="247"/>
      <c r="D35" s="247"/>
      <c r="E35" s="247"/>
      <c r="F35" s="530"/>
      <c r="G35" s="247"/>
      <c r="H35" s="530"/>
      <c r="I35" s="247"/>
      <c r="J35" s="530"/>
      <c r="K35" s="257"/>
    </row>
    <row r="36" spans="2:13" ht="15" thickBot="1">
      <c r="B36" s="270" t="s">
        <v>189</v>
      </c>
      <c r="C36" s="271"/>
      <c r="D36" s="271">
        <f t="shared" ref="D36:J36" si="10">D29*D30+D33*D34</f>
        <v>1.8782989256417609E-2</v>
      </c>
      <c r="E36" s="271">
        <f t="shared" si="10"/>
        <v>4.8051983782903547E-2</v>
      </c>
      <c r="F36" s="271">
        <f t="shared" si="10"/>
        <v>-3.8807561734618742E-3</v>
      </c>
      <c r="G36" s="271">
        <f t="shared" si="10"/>
        <v>1.9216972066150831E-3</v>
      </c>
      <c r="H36" s="271">
        <f t="shared" si="10"/>
        <v>-2.3123329182581712E-2</v>
      </c>
      <c r="I36" s="271">
        <f t="shared" si="10"/>
        <v>1.9754022996353589E-2</v>
      </c>
      <c r="J36" s="271">
        <f t="shared" si="10"/>
        <v>8.7080852802072756E-2</v>
      </c>
      <c r="K36" s="272">
        <f t="shared" ref="K36" si="11">K29*K30+K33*K34</f>
        <v>2.5619601596368564E-2</v>
      </c>
    </row>
    <row r="37" spans="2:13">
      <c r="C37" s="236"/>
      <c r="D37" s="236"/>
      <c r="E37" s="236"/>
      <c r="F37" s="236"/>
      <c r="G37" s="236"/>
      <c r="H37" s="236"/>
      <c r="I37" s="236"/>
      <c r="J37" s="236"/>
      <c r="K37" s="236"/>
    </row>
    <row r="38" spans="2:13" ht="15" thickBot="1">
      <c r="B38" s="238" t="s">
        <v>190</v>
      </c>
      <c r="C38" s="236"/>
      <c r="D38" s="236"/>
      <c r="E38" s="236"/>
      <c r="F38" s="236"/>
      <c r="G38" s="236"/>
      <c r="H38" s="236"/>
      <c r="I38" s="236"/>
      <c r="J38" s="236"/>
      <c r="K38" s="236"/>
    </row>
    <row r="39" spans="2:13">
      <c r="B39" s="277"/>
      <c r="C39" s="278">
        <v>2015</v>
      </c>
      <c r="D39" s="278">
        <v>2016</v>
      </c>
      <c r="E39" s="278">
        <v>2017</v>
      </c>
      <c r="F39" s="278">
        <v>2018</v>
      </c>
      <c r="G39" s="278">
        <v>2019</v>
      </c>
      <c r="H39" s="278">
        <v>2020</v>
      </c>
      <c r="I39" s="278">
        <v>2021</v>
      </c>
      <c r="J39" s="278">
        <v>2022</v>
      </c>
      <c r="K39" s="279">
        <v>2023</v>
      </c>
    </row>
    <row r="40" spans="2:13">
      <c r="B40" s="251" t="s">
        <v>178</v>
      </c>
      <c r="C40" s="252"/>
      <c r="D40" s="252">
        <f t="shared" ref="D40:K40" si="12">D11</f>
        <v>8.0511841940521522E-2</v>
      </c>
      <c r="E40" s="252">
        <f t="shared" si="12"/>
        <v>3.7641961057811146E-2</v>
      </c>
      <c r="F40" s="252">
        <f t="shared" si="12"/>
        <v>-2.2215513813126475E-2</v>
      </c>
      <c r="G40" s="252">
        <f t="shared" si="12"/>
        <v>3.7008135839527112E-2</v>
      </c>
      <c r="H40" s="252">
        <f t="shared" si="12"/>
        <v>-0.1673775340487087</v>
      </c>
      <c r="I40" s="252">
        <f t="shared" si="12"/>
        <v>-0.10291774230314865</v>
      </c>
      <c r="J40" s="252">
        <f t="shared" si="12"/>
        <v>0.15763418170775978</v>
      </c>
      <c r="K40" s="253">
        <f t="shared" si="12"/>
        <v>0.12156082629436282</v>
      </c>
    </row>
    <row r="41" spans="2:13">
      <c r="B41" s="254" t="s">
        <v>191</v>
      </c>
      <c r="C41" s="246"/>
      <c r="D41" s="246">
        <v>0.33742331288343563</v>
      </c>
      <c r="E41" s="246">
        <v>0.33742331288343563</v>
      </c>
      <c r="F41" s="246">
        <v>0.33742331288343563</v>
      </c>
      <c r="G41" s="246">
        <v>0.33742331288343563</v>
      </c>
      <c r="H41" s="246">
        <v>0.33742331288343563</v>
      </c>
      <c r="I41" s="246">
        <v>0.33742331288343563</v>
      </c>
      <c r="J41" s="246">
        <v>0.33742331288343563</v>
      </c>
      <c r="K41" s="255">
        <v>0.33742331288343563</v>
      </c>
    </row>
    <row r="42" spans="2:13">
      <c r="B42" s="251"/>
      <c r="C42" s="246"/>
      <c r="D42" s="246"/>
      <c r="E42" s="246"/>
      <c r="F42" s="256"/>
      <c r="G42" s="246"/>
      <c r="H42" s="256"/>
      <c r="I42" s="246"/>
      <c r="J42" s="256"/>
      <c r="K42" s="255"/>
    </row>
    <row r="43" spans="2:13">
      <c r="B43" s="251" t="s">
        <v>192</v>
      </c>
      <c r="C43" s="252"/>
      <c r="D43" s="252">
        <f t="shared" ref="D43:K43" si="13">D36</f>
        <v>1.8782989256417609E-2</v>
      </c>
      <c r="E43" s="252">
        <f t="shared" si="13"/>
        <v>4.8051983782903547E-2</v>
      </c>
      <c r="F43" s="252">
        <f t="shared" si="13"/>
        <v>-3.8807561734618742E-3</v>
      </c>
      <c r="G43" s="252">
        <f t="shared" si="13"/>
        <v>1.9216972066150831E-3</v>
      </c>
      <c r="H43" s="252">
        <f t="shared" si="13"/>
        <v>-2.3123329182581712E-2</v>
      </c>
      <c r="I43" s="252">
        <f t="shared" si="13"/>
        <v>1.9754022996353589E-2</v>
      </c>
      <c r="J43" s="252">
        <f t="shared" si="13"/>
        <v>8.7080852802072756E-2</v>
      </c>
      <c r="K43" s="253">
        <f t="shared" si="13"/>
        <v>2.5619601596368564E-2</v>
      </c>
    </row>
    <row r="44" spans="2:13">
      <c r="B44" s="254" t="s">
        <v>193</v>
      </c>
      <c r="C44" s="246"/>
      <c r="D44" s="246">
        <f t="shared" ref="D44:K44" si="14">1-D41</f>
        <v>0.66257668711656437</v>
      </c>
      <c r="E44" s="246">
        <f t="shared" si="14"/>
        <v>0.66257668711656437</v>
      </c>
      <c r="F44" s="246">
        <f t="shared" si="14"/>
        <v>0.66257668711656437</v>
      </c>
      <c r="G44" s="246">
        <f t="shared" si="14"/>
        <v>0.66257668711656437</v>
      </c>
      <c r="H44" s="246">
        <f t="shared" si="14"/>
        <v>0.66257668711656437</v>
      </c>
      <c r="I44" s="246">
        <f t="shared" si="14"/>
        <v>0.66257668711656437</v>
      </c>
      <c r="J44" s="246">
        <f t="shared" si="14"/>
        <v>0.66257668711656437</v>
      </c>
      <c r="K44" s="255">
        <f t="shared" si="14"/>
        <v>0.66257668711656437</v>
      </c>
    </row>
    <row r="45" spans="2:13" ht="15" thickBot="1">
      <c r="B45" s="258" t="s">
        <v>194</v>
      </c>
      <c r="C45" s="259"/>
      <c r="D45" s="259">
        <f t="shared" ref="D45:K45" si="15">D40*D41+D44*D43</f>
        <v>3.9611743229581511E-2</v>
      </c>
      <c r="E45" s="259">
        <f t="shared" si="15"/>
        <v>4.4539399427811016E-2</v>
      </c>
      <c r="F45" s="259">
        <f t="shared" si="15"/>
        <v>-1.0067330837152385E-2</v>
      </c>
      <c r="G45" s="259">
        <f t="shared" si="15"/>
        <v>1.3760679567413623E-2</v>
      </c>
      <c r="H45" s="259">
        <f t="shared" si="15"/>
        <v>-7.1798060885876105E-2</v>
      </c>
      <c r="I45" s="259">
        <f t="shared" si="15"/>
        <v>-2.163829044826374E-2</v>
      </c>
      <c r="J45" s="259">
        <f t="shared" si="15"/>
        <v>0.11088719077638433</v>
      </c>
      <c r="K45" s="260">
        <f t="shared" si="15"/>
        <v>5.7992407476059882E-2</v>
      </c>
    </row>
    <row r="46" spans="2:13" ht="15" thickBot="1">
      <c r="B46" s="242"/>
      <c r="C46" s="248"/>
      <c r="D46" s="248"/>
      <c r="E46" s="248"/>
      <c r="F46" s="248"/>
      <c r="G46" s="248"/>
      <c r="H46" s="242"/>
      <c r="I46" s="248"/>
      <c r="J46" s="242"/>
      <c r="K46" s="248"/>
      <c r="L46" s="242"/>
      <c r="M46" s="248"/>
    </row>
    <row r="47" spans="2:13" ht="15" thickBot="1">
      <c r="B47" s="250" t="s">
        <v>400</v>
      </c>
      <c r="C47" s="280">
        <f>AVERAGE(D45:K45)</f>
        <v>2.0410967288244767E-2</v>
      </c>
      <c r="D47" s="236"/>
      <c r="E47" s="236"/>
      <c r="F47" s="236"/>
      <c r="G47" s="236"/>
      <c r="H47" s="236"/>
    </row>
    <row r="48" spans="2:13"/>
    <row r="49"/>
    <row r="50"/>
    <row r="51"/>
    <row r="52"/>
    <row r="53"/>
    <row r="54"/>
    <row r="55"/>
    <row r="56"/>
    <row r="57"/>
    <row r="58"/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0B223-709B-4F66-A2E3-51FD1E3F4066}">
  <sheetPr>
    <tabColor theme="4" tint="0.39997558519241921"/>
  </sheetPr>
  <dimension ref="B1:M16"/>
  <sheetViews>
    <sheetView showGridLines="0" zoomScale="90" zoomScaleNormal="90" workbookViewId="0">
      <selection activeCell="D41" sqref="D41"/>
    </sheetView>
  </sheetViews>
  <sheetFormatPr baseColWidth="10" defaultRowHeight="14.5"/>
  <cols>
    <col min="2" max="2" width="32.1796875" customWidth="1"/>
  </cols>
  <sheetData>
    <row r="1" spans="2:13">
      <c r="H1" s="524">
        <f>'1. Factor X'!D15</f>
        <v>-5.4635196730062507E-2</v>
      </c>
    </row>
    <row r="3" spans="2:13">
      <c r="B3" s="2" t="s">
        <v>196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2:1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2:13" ht="15" thickBot="1">
      <c r="B5" s="3"/>
      <c r="C5" s="3"/>
      <c r="D5" s="3"/>
      <c r="E5" s="3"/>
      <c r="F5" s="3"/>
      <c r="G5" s="283"/>
      <c r="H5" s="283"/>
      <c r="I5" s="283"/>
      <c r="J5" s="283"/>
      <c r="K5" s="283"/>
      <c r="L5" s="283"/>
      <c r="M5" s="114"/>
    </row>
    <row r="6" spans="2:13">
      <c r="B6" s="287"/>
      <c r="C6" s="125">
        <v>2014</v>
      </c>
      <c r="D6" s="125">
        <v>2015</v>
      </c>
      <c r="E6" s="125">
        <v>2016</v>
      </c>
      <c r="F6" s="125">
        <v>2017</v>
      </c>
      <c r="G6" s="125">
        <v>2018</v>
      </c>
      <c r="H6" s="125">
        <v>2019</v>
      </c>
      <c r="I6" s="125">
        <v>2020</v>
      </c>
      <c r="J6" s="125">
        <v>2021</v>
      </c>
      <c r="K6" s="125">
        <v>2022</v>
      </c>
      <c r="L6" s="126">
        <v>2023</v>
      </c>
    </row>
    <row r="7" spans="2:13">
      <c r="B7" s="183" t="s">
        <v>197</v>
      </c>
      <c r="C7" s="285">
        <v>100.95011183333332</v>
      </c>
      <c r="D7" s="285">
        <v>102.73841633333332</v>
      </c>
      <c r="E7" s="285">
        <v>104.36584416666666</v>
      </c>
      <c r="F7" s="285">
        <v>105.56187274999998</v>
      </c>
      <c r="G7" s="285">
        <v>107.28539633333334</v>
      </c>
      <c r="H7" s="286">
        <v>108.54687299999999</v>
      </c>
      <c r="I7" s="286">
        <v>108.79037050000001</v>
      </c>
      <c r="J7" s="286">
        <v>118.96097399999998</v>
      </c>
      <c r="K7" s="286">
        <v>131.84472650000004</v>
      </c>
      <c r="L7" s="289">
        <v>134.21613866666667</v>
      </c>
    </row>
    <row r="8" spans="2:13" ht="15" thickBot="1">
      <c r="B8" s="185" t="s">
        <v>203</v>
      </c>
      <c r="C8" s="288">
        <f t="shared" ref="C8:L8" si="0">+C7/$C$7*100</f>
        <v>100</v>
      </c>
      <c r="D8" s="288">
        <f t="shared" si="0"/>
        <v>101.77147352045776</v>
      </c>
      <c r="E8" s="288">
        <f t="shared" si="0"/>
        <v>103.38358449663994</v>
      </c>
      <c r="F8" s="288">
        <f t="shared" si="0"/>
        <v>104.56835642171509</v>
      </c>
      <c r="G8" s="288">
        <f t="shared" si="0"/>
        <v>106.27565872384514</v>
      </c>
      <c r="H8" s="288">
        <f t="shared" si="0"/>
        <v>107.5252627547444</v>
      </c>
      <c r="I8" s="288">
        <f t="shared" si="0"/>
        <v>107.76646853012981</v>
      </c>
      <c r="J8" s="288">
        <f t="shared" si="0"/>
        <v>117.84134939483994</v>
      </c>
      <c r="K8" s="288">
        <f t="shared" si="0"/>
        <v>130.60384392408909</v>
      </c>
      <c r="L8" s="288">
        <f t="shared" si="0"/>
        <v>132.95293707871755</v>
      </c>
    </row>
    <row r="9" spans="2:13" ht="15" thickBot="1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2:13">
      <c r="B10" s="287"/>
      <c r="C10" s="125">
        <v>2014</v>
      </c>
      <c r="D10" s="125">
        <v>2015</v>
      </c>
      <c r="E10" s="125">
        <v>2016</v>
      </c>
      <c r="F10" s="125">
        <v>2017</v>
      </c>
      <c r="G10" s="125">
        <v>2018</v>
      </c>
      <c r="H10" s="125">
        <v>2019</v>
      </c>
      <c r="I10" s="125">
        <v>2020</v>
      </c>
      <c r="J10" s="125">
        <v>2021</v>
      </c>
      <c r="K10" s="125">
        <v>2022</v>
      </c>
      <c r="L10" s="126">
        <v>2023</v>
      </c>
    </row>
    <row r="11" spans="2:13">
      <c r="B11" s="183" t="s">
        <v>198</v>
      </c>
      <c r="C11" s="285">
        <v>2.83938113275613</v>
      </c>
      <c r="D11" s="285">
        <v>3.1860907106782101</v>
      </c>
      <c r="E11" s="285">
        <v>3.3771255534670002</v>
      </c>
      <c r="F11" s="285">
        <v>3.2621647955803001</v>
      </c>
      <c r="G11" s="285">
        <v>3.2881337472469068</v>
      </c>
      <c r="H11" s="286">
        <v>3.3387563672438669</v>
      </c>
      <c r="I11" s="286">
        <v>3.4972016594516595</v>
      </c>
      <c r="J11" s="286">
        <v>3.8841773801681412</v>
      </c>
      <c r="K11" s="286">
        <v>3.8393843054193453</v>
      </c>
      <c r="L11" s="289">
        <v>3.7347083333333337</v>
      </c>
    </row>
    <row r="12" spans="2:13" ht="15" thickBot="1">
      <c r="B12" s="185" t="s">
        <v>195</v>
      </c>
      <c r="C12" s="288">
        <f t="shared" ref="C12:L12" si="1">+(C11/$C$11)*100</f>
        <v>100</v>
      </c>
      <c r="D12" s="288">
        <f t="shared" si="1"/>
        <v>112.21074458523066</v>
      </c>
      <c r="E12" s="288">
        <f t="shared" si="1"/>
        <v>118.93878967170895</v>
      </c>
      <c r="F12" s="288">
        <f t="shared" si="1"/>
        <v>114.88999338436057</v>
      </c>
      <c r="G12" s="288">
        <f t="shared" si="1"/>
        <v>115.80459239211687</v>
      </c>
      <c r="H12" s="288">
        <f t="shared" si="1"/>
        <v>117.58746751983251</v>
      </c>
      <c r="I12" s="288">
        <f t="shared" si="1"/>
        <v>123.16774310805525</v>
      </c>
      <c r="J12" s="288">
        <f t="shared" si="1"/>
        <v>136.79661864900288</v>
      </c>
      <c r="K12" s="288">
        <f t="shared" si="1"/>
        <v>135.21905393843807</v>
      </c>
      <c r="L12" s="288">
        <f t="shared" si="1"/>
        <v>131.53247692774966</v>
      </c>
    </row>
    <row r="13" spans="2:13" ht="15" thickBot="1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2:13">
      <c r="B14" s="287"/>
      <c r="C14" s="125">
        <v>2014</v>
      </c>
      <c r="D14" s="125">
        <v>2015</v>
      </c>
      <c r="E14" s="125">
        <v>2016</v>
      </c>
      <c r="F14" s="125">
        <v>2017</v>
      </c>
      <c r="G14" s="125">
        <v>2018</v>
      </c>
      <c r="H14" s="125">
        <v>2019</v>
      </c>
      <c r="I14" s="125">
        <v>2020</v>
      </c>
      <c r="J14" s="125">
        <v>2021</v>
      </c>
      <c r="K14" s="125">
        <v>2022</v>
      </c>
      <c r="L14" s="126">
        <v>2023</v>
      </c>
    </row>
    <row r="15" spans="2:13" ht="15" thickBot="1">
      <c r="B15" s="233" t="s">
        <v>199</v>
      </c>
      <c r="C15" s="290">
        <f t="shared" ref="C15:L15" si="2">C8/C12</f>
        <v>1</v>
      </c>
      <c r="D15" s="290">
        <f t="shared" si="2"/>
        <v>0.90696727747988826</v>
      </c>
      <c r="E15" s="290">
        <f t="shared" si="2"/>
        <v>0.86921671880129281</v>
      </c>
      <c r="F15" s="290">
        <f t="shared" si="2"/>
        <v>0.91016069669257627</v>
      </c>
      <c r="G15" s="290">
        <f t="shared" si="2"/>
        <v>0.91771540772747118</v>
      </c>
      <c r="H15" s="290">
        <f t="shared" si="2"/>
        <v>0.91442791500385867</v>
      </c>
      <c r="I15" s="290">
        <f t="shared" si="2"/>
        <v>0.87495691494148864</v>
      </c>
      <c r="J15" s="290">
        <f t="shared" si="2"/>
        <v>0.86143466526172718</v>
      </c>
      <c r="K15" s="290">
        <f t="shared" si="2"/>
        <v>0.96586864143828299</v>
      </c>
      <c r="L15" s="291">
        <f t="shared" si="2"/>
        <v>1.0107993111978584</v>
      </c>
    </row>
    <row r="16" spans="2:13">
      <c r="B16" s="3" t="s">
        <v>213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BE595-E542-4A4D-B1F0-11DDE81E8855}">
  <sheetPr>
    <tabColor theme="4" tint="0.39997558519241921"/>
  </sheetPr>
  <dimension ref="B1:M16"/>
  <sheetViews>
    <sheetView showGridLines="0" zoomScale="90" zoomScaleNormal="90" workbookViewId="0">
      <selection activeCell="I20" sqref="I20"/>
    </sheetView>
  </sheetViews>
  <sheetFormatPr baseColWidth="10" defaultRowHeight="14.5"/>
  <cols>
    <col min="2" max="2" width="32.1796875" customWidth="1"/>
  </cols>
  <sheetData>
    <row r="1" spans="2:13">
      <c r="H1" s="524">
        <f>'1. Factor X'!D15</f>
        <v>-5.4635196730062507E-2</v>
      </c>
    </row>
    <row r="3" spans="2:13">
      <c r="B3" s="2" t="s">
        <v>200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2:1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2:13" ht="15" thickBot="1">
      <c r="B5" s="3"/>
      <c r="C5" s="3"/>
      <c r="D5" s="3"/>
      <c r="E5" s="3"/>
      <c r="F5" s="3"/>
      <c r="G5" s="283"/>
      <c r="H5" s="283"/>
      <c r="I5" s="283"/>
      <c r="J5" s="283"/>
      <c r="K5" s="283"/>
      <c r="L5" s="283"/>
      <c r="M5" s="114"/>
    </row>
    <row r="6" spans="2:13">
      <c r="B6" s="287"/>
      <c r="C6" s="125">
        <v>2014</v>
      </c>
      <c r="D6" s="125">
        <v>2015</v>
      </c>
      <c r="E6" s="125">
        <v>2016</v>
      </c>
      <c r="F6" s="125">
        <v>2017</v>
      </c>
      <c r="G6" s="125">
        <v>2018</v>
      </c>
      <c r="H6" s="125">
        <v>2019</v>
      </c>
      <c r="I6" s="125">
        <v>2020</v>
      </c>
      <c r="J6" s="125">
        <v>2021</v>
      </c>
      <c r="K6" s="125">
        <v>2022</v>
      </c>
      <c r="L6" s="126">
        <v>2023</v>
      </c>
    </row>
    <row r="7" spans="2:13">
      <c r="B7" s="183" t="s">
        <v>201</v>
      </c>
      <c r="C7" s="285">
        <v>102.1832234755978</v>
      </c>
      <c r="D7" s="285">
        <v>105.80852970695035</v>
      </c>
      <c r="E7" s="285">
        <v>109.61031894738032</v>
      </c>
      <c r="F7" s="285">
        <v>112.68360795178783</v>
      </c>
      <c r="G7" s="285">
        <v>114.16732490336682</v>
      </c>
      <c r="H7" s="286">
        <v>116.60576246055626</v>
      </c>
      <c r="I7" s="286">
        <v>118.73650267117564</v>
      </c>
      <c r="J7" s="286">
        <v>123.46104552953676</v>
      </c>
      <c r="K7" s="286">
        <v>133.18636344022937</v>
      </c>
      <c r="L7" s="289">
        <v>141.53011099001958</v>
      </c>
    </row>
    <row r="8" spans="2:13" ht="15" thickBot="1">
      <c r="B8" s="185" t="s">
        <v>204</v>
      </c>
      <c r="C8" s="288">
        <f t="shared" ref="C8:L8" si="0">+C7/$C$7*100</f>
        <v>100</v>
      </c>
      <c r="D8" s="288">
        <f t="shared" si="0"/>
        <v>103.54784876425269</v>
      </c>
      <c r="E8" s="288">
        <f t="shared" si="0"/>
        <v>107.26840984181338</v>
      </c>
      <c r="F8" s="288">
        <f t="shared" si="0"/>
        <v>110.27603565344326</v>
      </c>
      <c r="G8" s="288">
        <f t="shared" si="0"/>
        <v>111.72805184662326</v>
      </c>
      <c r="H8" s="288">
        <f t="shared" si="0"/>
        <v>114.11439030243812</v>
      </c>
      <c r="I8" s="288">
        <f t="shared" si="0"/>
        <v>116.19960560309677</v>
      </c>
      <c r="J8" s="288">
        <f t="shared" si="0"/>
        <v>120.82320495498978</v>
      </c>
      <c r="K8" s="288">
        <f t="shared" si="0"/>
        <v>130.34073393861505</v>
      </c>
      <c r="L8" s="574">
        <f t="shared" si="0"/>
        <v>138.50621087894936</v>
      </c>
    </row>
    <row r="9" spans="2:13" ht="15" thickBot="1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2:13">
      <c r="B10" s="572"/>
      <c r="C10" s="125">
        <v>2014</v>
      </c>
      <c r="D10" s="125">
        <v>2015</v>
      </c>
      <c r="E10" s="125">
        <v>2016</v>
      </c>
      <c r="F10" s="125">
        <v>2017</v>
      </c>
      <c r="G10" s="125">
        <v>2018</v>
      </c>
      <c r="H10" s="125">
        <v>2019</v>
      </c>
      <c r="I10" s="125">
        <v>2020</v>
      </c>
      <c r="J10" s="125">
        <v>2021</v>
      </c>
      <c r="K10" s="125">
        <v>2022</v>
      </c>
      <c r="L10" s="126">
        <v>2023</v>
      </c>
    </row>
    <row r="11" spans="2:13">
      <c r="B11" s="175" t="s">
        <v>198</v>
      </c>
      <c r="C11" s="570">
        <v>2.83938113275613</v>
      </c>
      <c r="D11" s="570">
        <v>3.1860907106782101</v>
      </c>
      <c r="E11" s="570">
        <v>3.3771255534670002</v>
      </c>
      <c r="F11" s="570">
        <v>3.2621647955803001</v>
      </c>
      <c r="G11" s="570">
        <v>3.2881337472469068</v>
      </c>
      <c r="H11" s="571">
        <v>3.3387563672438669</v>
      </c>
      <c r="I11" s="571">
        <v>3.4972016594516595</v>
      </c>
      <c r="J11" s="571">
        <v>3.8841773801681412</v>
      </c>
      <c r="K11" s="571">
        <v>3.8393843054193453</v>
      </c>
      <c r="L11" s="573">
        <v>3.7347083333333337</v>
      </c>
    </row>
    <row r="12" spans="2:13" ht="15" thickBot="1">
      <c r="B12" s="185" t="s">
        <v>195</v>
      </c>
      <c r="C12" s="288">
        <f t="shared" ref="C12:L12" si="1">+(C11/$C$11)*100</f>
        <v>100</v>
      </c>
      <c r="D12" s="288">
        <f t="shared" si="1"/>
        <v>112.21074458523066</v>
      </c>
      <c r="E12" s="288">
        <f t="shared" si="1"/>
        <v>118.93878967170895</v>
      </c>
      <c r="F12" s="288">
        <f t="shared" si="1"/>
        <v>114.88999338436057</v>
      </c>
      <c r="G12" s="288">
        <f t="shared" si="1"/>
        <v>115.80459239211687</v>
      </c>
      <c r="H12" s="288">
        <f t="shared" si="1"/>
        <v>117.58746751983251</v>
      </c>
      <c r="I12" s="288">
        <f t="shared" si="1"/>
        <v>123.16774310805525</v>
      </c>
      <c r="J12" s="288">
        <f t="shared" si="1"/>
        <v>136.79661864900288</v>
      </c>
      <c r="K12" s="288">
        <f t="shared" si="1"/>
        <v>135.21905393843807</v>
      </c>
      <c r="L12" s="574">
        <f t="shared" si="1"/>
        <v>131.53247692774966</v>
      </c>
    </row>
    <row r="13" spans="2:13" ht="15" thickBot="1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2:13">
      <c r="B14" s="287"/>
      <c r="C14" s="125">
        <v>2014</v>
      </c>
      <c r="D14" s="125">
        <v>2015</v>
      </c>
      <c r="E14" s="125">
        <v>2016</v>
      </c>
      <c r="F14" s="125">
        <v>2017</v>
      </c>
      <c r="G14" s="125">
        <v>2018</v>
      </c>
      <c r="H14" s="125">
        <v>2019</v>
      </c>
      <c r="I14" s="125">
        <v>2020</v>
      </c>
      <c r="J14" s="125">
        <v>2021</v>
      </c>
      <c r="K14" s="125">
        <v>2022</v>
      </c>
      <c r="L14" s="126">
        <v>2023</v>
      </c>
    </row>
    <row r="15" spans="2:13" ht="15" thickBot="1">
      <c r="B15" s="233" t="s">
        <v>202</v>
      </c>
      <c r="C15" s="290">
        <f t="shared" ref="C15:L15" si="2">C8/C12</f>
        <v>1</v>
      </c>
      <c r="D15" s="290">
        <f t="shared" si="2"/>
        <v>0.92279798291153847</v>
      </c>
      <c r="E15" s="290">
        <f t="shared" si="2"/>
        <v>0.90187911057353298</v>
      </c>
      <c r="F15" s="290">
        <f t="shared" si="2"/>
        <v>0.95984021240664996</v>
      </c>
      <c r="G15" s="290">
        <f t="shared" si="2"/>
        <v>0.96479810980474456</v>
      </c>
      <c r="H15" s="290">
        <f t="shared" si="2"/>
        <v>0.97046388283846141</v>
      </c>
      <c r="I15" s="290">
        <f t="shared" si="2"/>
        <v>0.94342562972153088</v>
      </c>
      <c r="J15" s="290">
        <f t="shared" si="2"/>
        <v>0.88323239381378138</v>
      </c>
      <c r="K15" s="290">
        <f t="shared" si="2"/>
        <v>0.96392283588935623</v>
      </c>
      <c r="L15" s="291">
        <f t="shared" si="2"/>
        <v>1.0530191030693534</v>
      </c>
    </row>
    <row r="16" spans="2:13">
      <c r="B16" s="3" t="s">
        <v>213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05608-AC76-4814-B1DA-7FD4233CA0F1}">
  <sheetPr>
    <tabColor theme="4" tint="0.39997558519241921"/>
  </sheetPr>
  <dimension ref="B1:L23"/>
  <sheetViews>
    <sheetView showGridLines="0" zoomScale="90" zoomScaleNormal="90" workbookViewId="0">
      <selection activeCell="H34" sqref="H34"/>
    </sheetView>
  </sheetViews>
  <sheetFormatPr baseColWidth="10" defaultColWidth="11.453125" defaultRowHeight="14.5"/>
  <cols>
    <col min="1" max="1" width="11.453125" style="3"/>
    <col min="2" max="2" width="50.1796875" style="3" customWidth="1"/>
    <col min="3" max="13" width="11.26953125" style="3" customWidth="1"/>
    <col min="14" max="16384" width="11.453125" style="3"/>
  </cols>
  <sheetData>
    <row r="1" spans="2:12">
      <c r="H1" s="411">
        <f>'1. Factor X'!D15</f>
        <v>-5.4635196730062507E-2</v>
      </c>
    </row>
    <row r="3" spans="2:12">
      <c r="B3" s="2" t="s">
        <v>205</v>
      </c>
      <c r="C3" s="292"/>
      <c r="D3" s="292"/>
      <c r="E3" s="292"/>
      <c r="F3" s="292"/>
      <c r="G3" s="292"/>
      <c r="H3" s="292"/>
    </row>
    <row r="4" spans="2:12">
      <c r="B4" s="79"/>
    </row>
    <row r="6" spans="2:12">
      <c r="B6" s="561"/>
      <c r="C6" s="562">
        <v>2014</v>
      </c>
      <c r="D6" s="562">
        <v>2015</v>
      </c>
      <c r="E6" s="562">
        <v>2016</v>
      </c>
      <c r="F6" s="562">
        <v>2017</v>
      </c>
      <c r="G6" s="562">
        <v>2018</v>
      </c>
      <c r="H6" s="562">
        <v>2019</v>
      </c>
      <c r="I6" s="562">
        <v>2020</v>
      </c>
      <c r="J6" s="562">
        <v>2021</v>
      </c>
      <c r="K6" s="562">
        <v>2022</v>
      </c>
      <c r="L6" s="563">
        <v>2023</v>
      </c>
    </row>
    <row r="7" spans="2:12">
      <c r="B7" s="564" t="s">
        <v>206</v>
      </c>
      <c r="C7" s="284">
        <v>101.56430425000001</v>
      </c>
      <c r="D7" s="284">
        <v>110.13848383333332</v>
      </c>
      <c r="E7" s="284">
        <v>115.21303308333331</v>
      </c>
      <c r="F7" s="284">
        <v>112.48965166666666</v>
      </c>
      <c r="G7" s="284">
        <v>113.07916366666667</v>
      </c>
      <c r="H7" s="284">
        <v>114.84401875000002</v>
      </c>
      <c r="I7" s="284">
        <v>118.94419408333333</v>
      </c>
      <c r="J7" s="284">
        <v>130.31143274999999</v>
      </c>
      <c r="K7" s="284">
        <v>135.24137716666667</v>
      </c>
      <c r="L7" s="569">
        <v>136.58591525</v>
      </c>
    </row>
    <row r="8" spans="2:12">
      <c r="B8" s="566" t="s">
        <v>208</v>
      </c>
      <c r="C8" s="567">
        <f t="shared" ref="C8:L8" si="0">C7/$C$7*100</f>
        <v>100</v>
      </c>
      <c r="D8" s="567">
        <f t="shared" si="0"/>
        <v>108.44211915460772</v>
      </c>
      <c r="E8" s="567">
        <f t="shared" si="0"/>
        <v>113.43850965565325</v>
      </c>
      <c r="F8" s="567">
        <f t="shared" si="0"/>
        <v>110.7570740501249</v>
      </c>
      <c r="G8" s="567">
        <f t="shared" si="0"/>
        <v>111.33750632340562</v>
      </c>
      <c r="H8" s="567">
        <f t="shared" si="0"/>
        <v>113.07517892045227</v>
      </c>
      <c r="I8" s="567">
        <f t="shared" si="0"/>
        <v>117.11220291585202</v>
      </c>
      <c r="J8" s="567">
        <f t="shared" si="0"/>
        <v>128.30436215979887</v>
      </c>
      <c r="K8" s="567">
        <f t="shared" si="0"/>
        <v>133.15837504658202</v>
      </c>
      <c r="L8" s="568">
        <f t="shared" si="0"/>
        <v>134.48220441090649</v>
      </c>
    </row>
    <row r="9" spans="2:12" ht="15" thickBot="1"/>
    <row r="10" spans="2:12">
      <c r="B10" s="287"/>
      <c r="C10" s="125">
        <v>2014</v>
      </c>
      <c r="D10" s="125">
        <v>2015</v>
      </c>
      <c r="E10" s="125">
        <v>2016</v>
      </c>
      <c r="F10" s="125">
        <v>2017</v>
      </c>
      <c r="G10" s="125">
        <v>2018</v>
      </c>
      <c r="H10" s="125">
        <v>2019</v>
      </c>
      <c r="I10" s="125">
        <v>2020</v>
      </c>
      <c r="J10" s="125">
        <v>2021</v>
      </c>
      <c r="K10" s="125">
        <v>2022</v>
      </c>
      <c r="L10" s="126">
        <v>2023</v>
      </c>
    </row>
    <row r="11" spans="2:12">
      <c r="B11" s="183" t="s">
        <v>209</v>
      </c>
      <c r="C11" s="293"/>
      <c r="D11" s="293">
        <f>+C8</f>
        <v>100</v>
      </c>
      <c r="E11" s="293">
        <f>+D8</f>
        <v>108.44211915460772</v>
      </c>
      <c r="F11" s="293">
        <f>+E8</f>
        <v>113.43850965565325</v>
      </c>
      <c r="G11" s="293">
        <f>+F8</f>
        <v>110.7570740501249</v>
      </c>
      <c r="H11" s="294">
        <f t="shared" ref="H11:L11" si="1">+G8</f>
        <v>111.33750632340562</v>
      </c>
      <c r="I11" s="294">
        <f t="shared" si="1"/>
        <v>113.07517892045227</v>
      </c>
      <c r="J11" s="294">
        <f t="shared" si="1"/>
        <v>117.11220291585202</v>
      </c>
      <c r="K11" s="294">
        <f t="shared" si="1"/>
        <v>128.30436215979887</v>
      </c>
      <c r="L11" s="295">
        <f t="shared" si="1"/>
        <v>133.15837504658202</v>
      </c>
    </row>
    <row r="12" spans="2:12">
      <c r="B12" s="175" t="s">
        <v>210</v>
      </c>
      <c r="C12" s="292">
        <f>+C8</f>
        <v>100</v>
      </c>
      <c r="D12" s="292">
        <f>+D8</f>
        <v>108.44211915460772</v>
      </c>
      <c r="E12" s="292">
        <f>+E8</f>
        <v>113.43850965565325</v>
      </c>
      <c r="F12" s="292">
        <f>+F8</f>
        <v>110.7570740501249</v>
      </c>
      <c r="G12" s="292">
        <f>+G8</f>
        <v>111.33750632340562</v>
      </c>
      <c r="H12" s="296">
        <f t="shared" ref="H12:L12" si="2">+H8</f>
        <v>113.07517892045227</v>
      </c>
      <c r="I12" s="296">
        <f t="shared" si="2"/>
        <v>117.11220291585202</v>
      </c>
      <c r="J12" s="296">
        <f t="shared" si="2"/>
        <v>128.30436215979887</v>
      </c>
      <c r="K12" s="296">
        <f t="shared" si="2"/>
        <v>133.15837504658202</v>
      </c>
      <c r="L12" s="297">
        <f t="shared" si="2"/>
        <v>134.48220441090649</v>
      </c>
    </row>
    <row r="13" spans="2:12" ht="15" thickBot="1">
      <c r="B13" s="185" t="s">
        <v>207</v>
      </c>
      <c r="C13" s="298"/>
      <c r="D13" s="298">
        <f>+D12/C12-1</f>
        <v>8.4421191546077301E-2</v>
      </c>
      <c r="E13" s="298">
        <f>+E12/D12-1</f>
        <v>4.6074260997445826E-2</v>
      </c>
      <c r="F13" s="298">
        <f>+F12/E12-1</f>
        <v>-2.3637789439123869E-2</v>
      </c>
      <c r="G13" s="298">
        <f>+G12/F12-1</f>
        <v>5.2405887231909976E-3</v>
      </c>
      <c r="H13" s="299">
        <f>+H12/G12-1</f>
        <v>1.5607252707808827E-2</v>
      </c>
      <c r="I13" s="299">
        <f t="shared" ref="I13:L13" si="3">+I12/H12-1</f>
        <v>3.5702123436300415E-2</v>
      </c>
      <c r="J13" s="299">
        <f t="shared" si="3"/>
        <v>9.5567831236072598E-2</v>
      </c>
      <c r="K13" s="299">
        <f t="shared" si="3"/>
        <v>3.7832017595299305E-2</v>
      </c>
      <c r="L13" s="300">
        <f t="shared" si="3"/>
        <v>9.9417656896261253E-3</v>
      </c>
    </row>
    <row r="15" spans="2:12">
      <c r="B15" s="561"/>
      <c r="C15" s="562">
        <v>2014</v>
      </c>
      <c r="D15" s="562">
        <v>2015</v>
      </c>
      <c r="E15" s="562">
        <v>2016</v>
      </c>
      <c r="F15" s="562">
        <v>2017</v>
      </c>
      <c r="G15" s="562">
        <v>2018</v>
      </c>
      <c r="H15" s="562">
        <v>2019</v>
      </c>
      <c r="I15" s="562">
        <v>2020</v>
      </c>
      <c r="J15" s="562">
        <v>2021</v>
      </c>
      <c r="K15" s="562">
        <v>2022</v>
      </c>
      <c r="L15" s="563">
        <v>2023</v>
      </c>
    </row>
    <row r="16" spans="2:12">
      <c r="B16" s="564" t="s">
        <v>198</v>
      </c>
      <c r="C16" s="285">
        <v>2.83938113275613</v>
      </c>
      <c r="D16" s="285">
        <v>3.1860907106782101</v>
      </c>
      <c r="E16" s="285">
        <v>3.3771255534670002</v>
      </c>
      <c r="F16" s="285">
        <v>3.2621647955803001</v>
      </c>
      <c r="G16" s="285">
        <v>3.2881337472469068</v>
      </c>
      <c r="H16" s="286">
        <v>3.3387563672438669</v>
      </c>
      <c r="I16" s="286">
        <v>3.4972016594516595</v>
      </c>
      <c r="J16" s="286">
        <v>3.8841773801681412</v>
      </c>
      <c r="K16" s="286">
        <v>3.8393843054193453</v>
      </c>
      <c r="L16" s="565">
        <v>3.7347083333333337</v>
      </c>
    </row>
    <row r="17" spans="2:12">
      <c r="B17" s="566" t="s">
        <v>195</v>
      </c>
      <c r="C17" s="567">
        <f t="shared" ref="C17:L17" si="4">+(C16/$C16)*100</f>
        <v>100</v>
      </c>
      <c r="D17" s="567">
        <f t="shared" si="4"/>
        <v>112.21074458523066</v>
      </c>
      <c r="E17" s="567">
        <f t="shared" si="4"/>
        <v>118.93878967170895</v>
      </c>
      <c r="F17" s="567">
        <f t="shared" si="4"/>
        <v>114.88999338436057</v>
      </c>
      <c r="G17" s="567">
        <f t="shared" si="4"/>
        <v>115.80459239211687</v>
      </c>
      <c r="H17" s="567">
        <f t="shared" si="4"/>
        <v>117.58746751983251</v>
      </c>
      <c r="I17" s="567">
        <f t="shared" si="4"/>
        <v>123.16774310805525</v>
      </c>
      <c r="J17" s="567">
        <f t="shared" si="4"/>
        <v>136.79661864900288</v>
      </c>
      <c r="K17" s="567">
        <f t="shared" si="4"/>
        <v>135.21905393843807</v>
      </c>
      <c r="L17" s="568">
        <f t="shared" si="4"/>
        <v>131.53247692774966</v>
      </c>
    </row>
    <row r="18" spans="2:12" ht="15" thickBot="1"/>
    <row r="19" spans="2:12">
      <c r="B19" s="287"/>
      <c r="C19" s="125">
        <v>2014</v>
      </c>
      <c r="D19" s="125">
        <v>2015</v>
      </c>
      <c r="E19" s="125">
        <v>2016</v>
      </c>
      <c r="F19" s="125">
        <v>2017</v>
      </c>
      <c r="G19" s="125">
        <v>2018</v>
      </c>
      <c r="H19" s="125">
        <v>2019</v>
      </c>
      <c r="I19" s="125">
        <v>2020</v>
      </c>
      <c r="J19" s="125">
        <v>2021</v>
      </c>
      <c r="K19" s="125">
        <v>2022</v>
      </c>
      <c r="L19" s="126">
        <v>2023</v>
      </c>
    </row>
    <row r="20" spans="2:12">
      <c r="B20" s="183" t="s">
        <v>211</v>
      </c>
      <c r="C20" s="293"/>
      <c r="D20" s="293">
        <f>+C21</f>
        <v>1</v>
      </c>
      <c r="E20" s="293">
        <f>+D21</f>
        <v>0.96641475426838075</v>
      </c>
      <c r="F20" s="293">
        <f>+E21</f>
        <v>0.95375537256401044</v>
      </c>
      <c r="G20" s="293">
        <f>+F21</f>
        <v>0.96402716013387579</v>
      </c>
      <c r="H20" s="294">
        <f t="shared" ref="H20:K20" si="5">+G21</f>
        <v>0.96142565699306981</v>
      </c>
      <c r="I20" s="294">
        <f t="shared" si="5"/>
        <v>0.9616261095288986</v>
      </c>
      <c r="J20" s="294">
        <f t="shared" si="5"/>
        <v>0.95083501540747817</v>
      </c>
      <c r="K20" s="294">
        <f t="shared" si="5"/>
        <v>0.93792056724008865</v>
      </c>
      <c r="L20" s="295">
        <f>+K21</f>
        <v>0.98476043995401552</v>
      </c>
    </row>
    <row r="21" spans="2:12">
      <c r="B21" s="175" t="s">
        <v>212</v>
      </c>
      <c r="C21" s="292">
        <f>+C8/C17</f>
        <v>1</v>
      </c>
      <c r="D21" s="292">
        <f>+D8/D17</f>
        <v>0.96641475426838075</v>
      </c>
      <c r="E21" s="292">
        <f>+E8/E17</f>
        <v>0.95375537256401044</v>
      </c>
      <c r="F21" s="292">
        <f>+F8/F17</f>
        <v>0.96402716013387579</v>
      </c>
      <c r="G21" s="292">
        <f>+G8/G17</f>
        <v>0.96142565699306981</v>
      </c>
      <c r="H21" s="296">
        <f t="shared" ref="H21:L21" si="6">+H8/H17</f>
        <v>0.9616261095288986</v>
      </c>
      <c r="I21" s="296">
        <f t="shared" si="6"/>
        <v>0.95083501540747817</v>
      </c>
      <c r="J21" s="296">
        <f t="shared" si="6"/>
        <v>0.93792056724008865</v>
      </c>
      <c r="K21" s="296">
        <f t="shared" si="6"/>
        <v>0.98476043995401552</v>
      </c>
      <c r="L21" s="297">
        <f t="shared" si="6"/>
        <v>1.022425849129087</v>
      </c>
    </row>
    <row r="22" spans="2:12" ht="15" thickBot="1">
      <c r="B22" s="185" t="s">
        <v>207</v>
      </c>
      <c r="C22" s="298"/>
      <c r="D22" s="298">
        <f>+D21/C21-1</f>
        <v>-3.3585245731619251E-2</v>
      </c>
      <c r="E22" s="298">
        <f>+E21/D21-1</f>
        <v>-1.3099325779596604E-2</v>
      </c>
      <c r="F22" s="298">
        <f>+F21/E21-1</f>
        <v>1.0769834556476843E-2</v>
      </c>
      <c r="G22" s="298">
        <f>+G21/F21-1</f>
        <v>-2.6985786795101774E-3</v>
      </c>
      <c r="H22" s="299">
        <f t="shared" ref="H22:L22" si="7">+H21/G21-1</f>
        <v>2.0849509722431492E-4</v>
      </c>
      <c r="I22" s="299">
        <f t="shared" si="7"/>
        <v>-1.1221714983079001E-2</v>
      </c>
      <c r="J22" s="299">
        <f t="shared" si="7"/>
        <v>-1.3582217690894627E-2</v>
      </c>
      <c r="K22" s="299">
        <f t="shared" si="7"/>
        <v>4.9940127501156395E-2</v>
      </c>
      <c r="L22" s="300">
        <f t="shared" si="7"/>
        <v>3.8248296384479241E-2</v>
      </c>
    </row>
    <row r="23" spans="2:12">
      <c r="B23" s="3" t="s">
        <v>213</v>
      </c>
      <c r="C23" s="283"/>
      <c r="D23" s="283"/>
      <c r="E23" s="283"/>
      <c r="F23" s="283"/>
      <c r="G23" s="283"/>
      <c r="H23" s="283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B1999-593D-44CE-B0C7-C151F91CD446}">
  <sheetPr>
    <tabColor theme="4" tint="0.39997558519241921"/>
  </sheetPr>
  <dimension ref="B1:K8"/>
  <sheetViews>
    <sheetView showGridLines="0" zoomScale="90" zoomScaleNormal="90" workbookViewId="0">
      <selection activeCell="H14" sqref="H14"/>
    </sheetView>
  </sheetViews>
  <sheetFormatPr baseColWidth="10" defaultColWidth="11.453125" defaultRowHeight="14.5"/>
  <cols>
    <col min="1" max="1" width="11.453125" style="3"/>
    <col min="2" max="2" width="24" style="3" customWidth="1"/>
    <col min="3" max="16384" width="11.453125" style="3"/>
  </cols>
  <sheetData>
    <row r="1" spans="2:11">
      <c r="H1" s="411">
        <f>'1. Factor X'!D15</f>
        <v>-5.4635196730062507E-2</v>
      </c>
    </row>
    <row r="3" spans="2:11">
      <c r="B3" s="2" t="s">
        <v>413</v>
      </c>
      <c r="C3" s="105"/>
      <c r="D3" s="105"/>
      <c r="E3" s="105"/>
      <c r="F3" s="105"/>
      <c r="G3" s="105"/>
    </row>
    <row r="4" spans="2:11">
      <c r="B4" s="79"/>
    </row>
    <row r="5" spans="2:11" ht="15" thickBot="1"/>
    <row r="6" spans="2:11">
      <c r="B6" s="287"/>
      <c r="C6" s="125">
        <v>2015</v>
      </c>
      <c r="D6" s="125">
        <v>2016</v>
      </c>
      <c r="E6" s="125">
        <v>2017</v>
      </c>
      <c r="F6" s="125">
        <v>2018</v>
      </c>
      <c r="G6" s="125">
        <v>2019</v>
      </c>
      <c r="H6" s="125">
        <v>2020</v>
      </c>
      <c r="I6" s="125">
        <v>2021</v>
      </c>
      <c r="J6" s="125">
        <v>2022</v>
      </c>
      <c r="K6" s="126">
        <v>2023</v>
      </c>
    </row>
    <row r="7" spans="2:11" ht="15" thickBot="1">
      <c r="B7" s="233" t="s">
        <v>214</v>
      </c>
      <c r="C7" s="301">
        <v>0.316</v>
      </c>
      <c r="D7" s="301">
        <v>0.316</v>
      </c>
      <c r="E7" s="301">
        <v>0.33024999999999999</v>
      </c>
      <c r="F7" s="301">
        <v>0.33024999999999999</v>
      </c>
      <c r="G7" s="302">
        <v>0.33024999999999999</v>
      </c>
      <c r="H7" s="302">
        <v>0.33024999999999999</v>
      </c>
      <c r="I7" s="302">
        <v>0.33024999999999999</v>
      </c>
      <c r="J7" s="302">
        <v>0.33024999999999999</v>
      </c>
      <c r="K7" s="303">
        <v>0.33024999999999999</v>
      </c>
    </row>
    <row r="8" spans="2:11">
      <c r="B8" s="3" t="s">
        <v>215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FFF06-7B1E-461D-9EFC-FB88F43A63D0}">
  <sheetPr>
    <tabColor theme="7" tint="-0.249977111117893"/>
  </sheetPr>
  <dimension ref="B2:K11"/>
  <sheetViews>
    <sheetView showGridLines="0" zoomScale="90" zoomScaleNormal="90" workbookViewId="0">
      <selection activeCell="D29" sqref="D29"/>
    </sheetView>
  </sheetViews>
  <sheetFormatPr baseColWidth="10" defaultRowHeight="14.5"/>
  <cols>
    <col min="2" max="2" width="37.26953125" customWidth="1"/>
    <col min="3" max="11" width="12.81640625" customWidth="1"/>
  </cols>
  <sheetData>
    <row r="2" spans="2:11">
      <c r="B2" s="50" t="s">
        <v>259</v>
      </c>
    </row>
    <row r="3" spans="2:11" ht="15" thickBot="1"/>
    <row r="4" spans="2:11">
      <c r="B4" s="388"/>
      <c r="C4" s="125">
        <v>2016</v>
      </c>
      <c r="D4" s="125">
        <v>2017</v>
      </c>
      <c r="E4" s="125">
        <v>2018</v>
      </c>
      <c r="F4" s="125">
        <v>2019</v>
      </c>
      <c r="G4" s="125">
        <v>2020</v>
      </c>
      <c r="H4" s="125">
        <v>2021</v>
      </c>
      <c r="I4" s="125">
        <v>2022</v>
      </c>
      <c r="J4" s="126">
        <v>2023</v>
      </c>
    </row>
    <row r="5" spans="2:11">
      <c r="B5" s="175" t="s">
        <v>260</v>
      </c>
      <c r="C5" s="378">
        <f>'2.1.ÍndCantProd'!C7</f>
        <v>0.82250055778478248</v>
      </c>
      <c r="D5" s="378">
        <f>'2.1.ÍndCantProd'!D7</f>
        <v>1.2907210773068232</v>
      </c>
      <c r="E5" s="378">
        <f>'2.1.ÍndCantProd'!E7</f>
        <v>0.89791727175447478</v>
      </c>
      <c r="F5" s="378">
        <f>'2.1.ÍndCantProd'!F7</f>
        <v>0.88101481769235979</v>
      </c>
      <c r="G5" s="378">
        <f>'2.1.ÍndCantProd'!G7</f>
        <v>1.0965796674798802</v>
      </c>
      <c r="H5" s="378">
        <f>'2.1.ÍndCantProd'!H7</f>
        <v>1.5460989239346448</v>
      </c>
      <c r="I5" s="378">
        <f>'2.1.ÍndCantProd'!I7</f>
        <v>1.4357057092775314</v>
      </c>
      <c r="J5" s="379">
        <f>'2.1.ÍndCantProd'!J7</f>
        <v>0.86675448662687071</v>
      </c>
    </row>
    <row r="6" spans="2:11">
      <c r="B6" s="175" t="s">
        <v>261</v>
      </c>
      <c r="C6" s="378">
        <f>'2.2.ÍndCantInsum'!C11</f>
        <v>0.98138854394815533</v>
      </c>
      <c r="D6" s="378">
        <f>'2.2.ÍndCantInsum'!D11</f>
        <v>1.1857068580158499</v>
      </c>
      <c r="E6" s="378">
        <f>'2.2.ÍndCantInsum'!E11</f>
        <v>1.0089199927324355</v>
      </c>
      <c r="F6" s="378">
        <f>'2.2.ÍndCantInsum'!F11</f>
        <v>1.5305578396058814</v>
      </c>
      <c r="G6" s="378">
        <f>'2.2.ÍndCantInsum'!G11</f>
        <v>1.90962229921111</v>
      </c>
      <c r="H6" s="378">
        <f>'2.2.ÍndCantInsum'!H11</f>
        <v>1.2777825702818821</v>
      </c>
      <c r="I6" s="378">
        <f>'2.2.ÍndCantInsum'!I11</f>
        <v>1.2130491340776026</v>
      </c>
      <c r="J6" s="379">
        <f>'2.2.ÍndCantInsum'!J11</f>
        <v>0.97407454748807676</v>
      </c>
    </row>
    <row r="7" spans="2:11" ht="15" thickBot="1">
      <c r="B7" s="185" t="s">
        <v>238</v>
      </c>
      <c r="C7" s="386">
        <f t="shared" ref="C7:J7" si="0">C5/C6</f>
        <v>0.83809879670679488</v>
      </c>
      <c r="D7" s="386">
        <f t="shared" si="0"/>
        <v>1.0885667638514827</v>
      </c>
      <c r="E7" s="386">
        <f t="shared" si="0"/>
        <v>0.88997866849943719</v>
      </c>
      <c r="F7" s="386">
        <f t="shared" si="0"/>
        <v>0.57561680773803425</v>
      </c>
      <c r="G7" s="386">
        <f t="shared" si="0"/>
        <v>0.57423903561080725</v>
      </c>
      <c r="H7" s="386">
        <f t="shared" si="0"/>
        <v>1.2099859239694992</v>
      </c>
      <c r="I7" s="386">
        <f t="shared" si="0"/>
        <v>1.1835511595902799</v>
      </c>
      <c r="J7" s="387">
        <f t="shared" si="0"/>
        <v>0.8898235652107318</v>
      </c>
    </row>
    <row r="8" spans="2:11" ht="15" thickBot="1">
      <c r="B8" s="3"/>
      <c r="C8" s="3"/>
      <c r="D8" s="3"/>
      <c r="E8" s="3"/>
      <c r="F8" s="3"/>
      <c r="G8" s="3"/>
      <c r="H8" s="3"/>
      <c r="I8" s="3"/>
      <c r="J8" s="3"/>
    </row>
    <row r="9" spans="2:11" ht="15" thickBot="1">
      <c r="B9" s="281" t="s">
        <v>258</v>
      </c>
      <c r="C9" s="389">
        <f t="shared" ref="C9:J9" si="1">LN(C7)</f>
        <v>-0.17661928961772391</v>
      </c>
      <c r="D9" s="389">
        <f t="shared" si="1"/>
        <v>8.4861935458256876E-2</v>
      </c>
      <c r="E9" s="389">
        <f t="shared" si="1"/>
        <v>-0.11655778452134857</v>
      </c>
      <c r="F9" s="389">
        <f t="shared" si="1"/>
        <v>-0.55231310401645228</v>
      </c>
      <c r="G9" s="389">
        <f t="shared" si="1"/>
        <v>-0.55470953100259923</v>
      </c>
      <c r="H9" s="389">
        <f t="shared" si="1"/>
        <v>0.1906087264579264</v>
      </c>
      <c r="I9" s="389">
        <f t="shared" si="1"/>
        <v>0.16851937640583867</v>
      </c>
      <c r="J9" s="390">
        <f t="shared" si="1"/>
        <v>-0.11673207724461895</v>
      </c>
    </row>
    <row r="10" spans="2:11" ht="15" thickBot="1">
      <c r="B10" s="50"/>
      <c r="C10" s="391"/>
      <c r="D10" s="391"/>
      <c r="E10" s="391"/>
      <c r="F10" s="391"/>
      <c r="G10" s="391"/>
      <c r="H10" s="391"/>
      <c r="I10" s="391"/>
      <c r="J10" s="391"/>
      <c r="K10" s="391"/>
    </row>
    <row r="11" spans="2:11" ht="15" thickBot="1">
      <c r="B11" s="281" t="s">
        <v>264</v>
      </c>
      <c r="C11" s="390">
        <f>AVERAGE(C9:J9)</f>
        <v>-0.13411771851009013</v>
      </c>
      <c r="D11" s="391"/>
      <c r="E11" s="391"/>
      <c r="F11" s="391"/>
      <c r="G11" s="391"/>
      <c r="H11" s="391"/>
      <c r="I11" s="391"/>
      <c r="J11" s="391"/>
      <c r="K11" s="39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7A493-0085-4A04-AFD9-065C00757D71}">
  <sheetPr>
    <tabColor rgb="FF00B050"/>
  </sheetPr>
  <dimension ref="B2:K11"/>
  <sheetViews>
    <sheetView showGridLines="0" zoomScale="90" zoomScaleNormal="90" workbookViewId="0">
      <selection activeCell="L21" sqref="L21"/>
    </sheetView>
  </sheetViews>
  <sheetFormatPr baseColWidth="10" defaultRowHeight="14.5"/>
  <cols>
    <col min="2" max="2" width="22.26953125" customWidth="1"/>
    <col min="3" max="11" width="12.81640625" customWidth="1"/>
  </cols>
  <sheetData>
    <row r="2" spans="2:11">
      <c r="B2" s="50" t="s">
        <v>259</v>
      </c>
    </row>
    <row r="3" spans="2:11" ht="15" thickBot="1"/>
    <row r="4" spans="2:11">
      <c r="B4" s="388"/>
      <c r="C4" s="125">
        <v>2016</v>
      </c>
      <c r="D4" s="125">
        <v>2017</v>
      </c>
      <c r="E4" s="125">
        <v>2018</v>
      </c>
      <c r="F4" s="125">
        <v>2019</v>
      </c>
      <c r="G4" s="125">
        <v>2020</v>
      </c>
      <c r="H4" s="125">
        <v>2021</v>
      </c>
      <c r="I4" s="125">
        <v>2022</v>
      </c>
      <c r="J4" s="126">
        <v>2023</v>
      </c>
    </row>
    <row r="5" spans="2:11">
      <c r="B5" s="175" t="s">
        <v>255</v>
      </c>
      <c r="C5" s="378">
        <f>SUMPRODUCT('2.1.2. Cantidades Serv.'!E10:E48,'2.1.3.Precios Serv.'!D10:D48)/SUMPRODUCT('2.1.2. Cantidades Serv.'!D10:D48,'2.1.3.Precios Serv.'!D10:D48)</f>
        <v>0.81094276204771398</v>
      </c>
      <c r="D5" s="378">
        <f>SUMPRODUCT('2.1.2. Cantidades Serv.'!F10:F48,'2.1.3.Precios Serv.'!E10:E48)/SUMPRODUCT('2.1.2. Cantidades Serv.'!E10:E48,'2.1.3.Precios Serv.'!E10:E48)</f>
        <v>1.2681614541151089</v>
      </c>
      <c r="E5" s="378">
        <f>SUMPRODUCT('2.1.2. Cantidades Serv.'!G10:G48,'2.1.3.Precios Serv.'!F10:F48)/SUMPRODUCT('2.1.2. Cantidades Serv.'!F10:F48,'2.1.3.Precios Serv.'!F10:F48)</f>
        <v>0.89359523364603943</v>
      </c>
      <c r="F5" s="378">
        <f>SUMPRODUCT('2.1.2. Cantidades Serv.'!H10:H48,'2.1.3.Precios Serv.'!G10:G48)/SUMPRODUCT('2.1.2. Cantidades Serv.'!G10:G48,'2.1.3.Precios Serv.'!G10:G48)</f>
        <v>0.86986172388146843</v>
      </c>
      <c r="G5" s="378">
        <f>SUMPRODUCT('2.1.2. Cantidades Serv.'!I10:I48,'2.1.3.Precios Serv.'!H10:H48)/SUMPRODUCT('2.1.2. Cantidades Serv.'!H10:H48,'2.1.3.Precios Serv.'!H10:H48)</f>
        <v>1.0782178449301612</v>
      </c>
      <c r="H5" s="378">
        <f>SUMPRODUCT('2.1.2. Cantidades Serv.'!J10:J48,'2.1.3.Precios Serv.'!I10:I48)/SUMPRODUCT('2.1.2. Cantidades Serv.'!I10:I48,'2.1.3.Precios Serv.'!I10:I48)</f>
        <v>1.5467206931021038</v>
      </c>
      <c r="I5" s="378">
        <f>SUMPRODUCT('2.1.2. Cantidades Serv.'!K10:K48,'2.1.3.Precios Serv.'!J10:J48)/SUMPRODUCT('2.1.2. Cantidades Serv.'!J10:J48,'2.1.3.Precios Serv.'!J10:J48)</f>
        <v>1.4453151777627686</v>
      </c>
      <c r="J5" s="379">
        <f>SUMPRODUCT('2.1.2. Cantidades Serv.'!L10:L48,'2.1.3.Precios Serv.'!K10:K48)/SUMPRODUCT('2.1.2. Cantidades Serv.'!K10:K48,'2.1.3.Precios Serv.'!K10:K48)</f>
        <v>0.86454833391625974</v>
      </c>
    </row>
    <row r="6" spans="2:11">
      <c r="B6" s="175" t="s">
        <v>256</v>
      </c>
      <c r="C6" s="378">
        <f>SUMPRODUCT('2.1.2. Cantidades Serv.'!E10:E48,'2.1.3.Precios Serv.'!E10:E48)/SUMPRODUCT('2.1.2. Cantidades Serv.'!D10:D48,'2.1.3.Precios Serv.'!E10:E48)</f>
        <v>0.83422307864001155</v>
      </c>
      <c r="D6" s="378">
        <f>SUMPRODUCT('2.1.2. Cantidades Serv.'!F10:F48,'2.1.3.Precios Serv.'!F10:F48)/SUMPRODUCT('2.1.2. Cantidades Serv.'!E10:E48,'2.1.3.Precios Serv.'!F10:F48)</f>
        <v>1.3136820189559786</v>
      </c>
      <c r="E6" s="378">
        <f>SUMPRODUCT('2.1.2. Cantidades Serv.'!G10:G48,'2.1.3.Precios Serv.'!G10:G48)/SUMPRODUCT('2.1.2. Cantidades Serv.'!F10:F48,'2.1.3.Precios Serv.'!G10:G48)</f>
        <v>0.9022602141971181</v>
      </c>
      <c r="F6" s="378">
        <f>SUMPRODUCT('2.1.2. Cantidades Serv.'!H10:H48,'2.1.3.Precios Serv.'!H10:H48)/SUMPRODUCT('2.1.2. Cantidades Serv.'!G10:G48,'2.1.3.Precios Serv.'!H10:H48)</f>
        <v>0.89231091296904674</v>
      </c>
      <c r="G6" s="378">
        <f>SUMPRODUCT('2.1.2. Cantidades Serv.'!I10:I48,'2.1.3.Precios Serv.'!I10:I48)/SUMPRODUCT('2.1.2. Cantidades Serv.'!H10:H48,'2.1.3.Precios Serv.'!I10:I48)</f>
        <v>1.1152541879959077</v>
      </c>
      <c r="H6" s="378">
        <f>SUMPRODUCT('2.1.2. Cantidades Serv.'!J10:J48,'2.1.3.Precios Serv.'!J10:J48)/SUMPRODUCT('2.1.2. Cantidades Serv.'!I10:I48,'2.1.3.Precios Serv.'!J10:J48)</f>
        <v>1.5454774047133455</v>
      </c>
      <c r="I6" s="378">
        <f>SUMPRODUCT('2.1.2. Cantidades Serv.'!K10:K48,'2.1.3.Precios Serv.'!K10:K48)/SUMPRODUCT('2.1.2. Cantidades Serv.'!J10:J48,'2.1.3.Precios Serv.'!K10:K48)</f>
        <v>1.4261601312751377</v>
      </c>
      <c r="J6" s="379">
        <f>SUMPRODUCT('2.1.2. Cantidades Serv.'!L10:L48,'2.1.3.Precios Serv.'!L10:L48)/SUMPRODUCT('2.1.2. Cantidades Serv.'!K10:K48,'2.1.3.Precios Serv.'!L10:L48)</f>
        <v>0.86896626899355944</v>
      </c>
    </row>
    <row r="7" spans="2:11" ht="15" thickBot="1">
      <c r="B7" s="185" t="s">
        <v>257</v>
      </c>
      <c r="C7" s="386">
        <f t="shared" ref="C7:J7" si="0">+SQRT(C5*C6)</f>
        <v>0.82250055778478248</v>
      </c>
      <c r="D7" s="386">
        <f t="shared" si="0"/>
        <v>1.2907210773068232</v>
      </c>
      <c r="E7" s="386">
        <f t="shared" si="0"/>
        <v>0.89791727175447478</v>
      </c>
      <c r="F7" s="386">
        <f t="shared" si="0"/>
        <v>0.88101481769235979</v>
      </c>
      <c r="G7" s="386">
        <f t="shared" si="0"/>
        <v>1.0965796674798802</v>
      </c>
      <c r="H7" s="386">
        <f t="shared" si="0"/>
        <v>1.5460989239346448</v>
      </c>
      <c r="I7" s="386">
        <f t="shared" si="0"/>
        <v>1.4357057092775314</v>
      </c>
      <c r="J7" s="387">
        <f t="shared" si="0"/>
        <v>0.86675448662687071</v>
      </c>
    </row>
    <row r="8" spans="2:11" ht="15" thickBot="1">
      <c r="B8" s="3"/>
      <c r="C8" s="3"/>
      <c r="D8" s="3"/>
      <c r="E8" s="3"/>
      <c r="F8" s="3"/>
      <c r="G8" s="3"/>
      <c r="H8" s="3"/>
      <c r="I8" s="3"/>
      <c r="J8" s="3"/>
    </row>
    <row r="9" spans="2:11" ht="15" thickBot="1">
      <c r="B9" s="281" t="s">
        <v>258</v>
      </c>
      <c r="C9" s="389">
        <f t="shared" ref="C9:J9" si="1">LN(C7)</f>
        <v>-0.1954061181850498</v>
      </c>
      <c r="D9" s="389">
        <f t="shared" si="1"/>
        <v>0.25520103686189283</v>
      </c>
      <c r="E9" s="389">
        <f t="shared" si="1"/>
        <v>-0.1076773399187224</v>
      </c>
      <c r="F9" s="389">
        <f t="shared" si="1"/>
        <v>-0.12668083401332358</v>
      </c>
      <c r="G9" s="389">
        <f t="shared" si="1"/>
        <v>9.219594239687634E-2</v>
      </c>
      <c r="H9" s="389">
        <f t="shared" si="1"/>
        <v>0.43573493513926376</v>
      </c>
      <c r="I9" s="389">
        <f t="shared" si="1"/>
        <v>0.3616565117943889</v>
      </c>
      <c r="J9" s="390">
        <f t="shared" si="1"/>
        <v>-0.14299951805097191</v>
      </c>
    </row>
    <row r="10" spans="2:11" ht="15" thickBot="1">
      <c r="B10" s="50"/>
      <c r="C10" s="391"/>
      <c r="D10" s="391"/>
      <c r="E10" s="391"/>
      <c r="F10" s="391"/>
      <c r="G10" s="391"/>
      <c r="H10" s="391"/>
      <c r="I10" s="391"/>
      <c r="J10" s="391"/>
      <c r="K10" s="391"/>
    </row>
    <row r="11" spans="2:11" ht="15" thickBot="1">
      <c r="B11" s="281" t="s">
        <v>127</v>
      </c>
      <c r="C11" s="390">
        <f>AVERAGE(C9:J9)</f>
        <v>7.1503077003044271E-2</v>
      </c>
      <c r="D11" s="391"/>
      <c r="E11" s="391"/>
      <c r="F11" s="391"/>
      <c r="G11" s="391"/>
      <c r="H11" s="391"/>
      <c r="I11" s="391"/>
      <c r="J11" s="391"/>
      <c r="K11" s="39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B1:M55"/>
  <sheetViews>
    <sheetView showGridLines="0" zoomScale="90" zoomScaleNormal="90" workbookViewId="0">
      <pane xSplit="1" ySplit="7" topLeftCell="B26" activePane="bottomRight" state="frozen"/>
      <selection pane="topRight" activeCell="B1" sqref="B1"/>
      <selection pane="bottomLeft" activeCell="A8" sqref="A8"/>
      <selection pane="bottomRight" activeCell="A48" sqref="A48:XFD48"/>
    </sheetView>
  </sheetViews>
  <sheetFormatPr baseColWidth="10" defaultColWidth="9.1796875" defaultRowHeight="14.5"/>
  <cols>
    <col min="1" max="1" width="9.1796875" style="3"/>
    <col min="2" max="2" width="62" style="3" bestFit="1" customWidth="1"/>
    <col min="3" max="4" width="11.54296875" style="3" bestFit="1" customWidth="1"/>
    <col min="5" max="10" width="11" style="3" bestFit="1" customWidth="1"/>
    <col min="11" max="12" width="11.26953125" style="3" bestFit="1" customWidth="1"/>
    <col min="13" max="13" width="11.26953125" style="1" bestFit="1" customWidth="1"/>
    <col min="14" max="16384" width="9.1796875" style="3"/>
  </cols>
  <sheetData>
    <row r="1" spans="2:13">
      <c r="F1" s="411">
        <f>+'1. Factor X'!D15</f>
        <v>-5.4635196730062507E-2</v>
      </c>
    </row>
    <row r="4" spans="2:13">
      <c r="B4" s="2" t="s">
        <v>41</v>
      </c>
      <c r="M4" s="3"/>
    </row>
    <row r="5" spans="2:13">
      <c r="B5" s="5" t="s">
        <v>42</v>
      </c>
      <c r="M5" s="3"/>
    </row>
    <row r="6" spans="2:13" ht="15" thickBot="1">
      <c r="M6" s="3"/>
    </row>
    <row r="7" spans="2:13">
      <c r="B7" s="82" t="s">
        <v>0</v>
      </c>
      <c r="C7" s="83">
        <v>2015</v>
      </c>
      <c r="D7" s="83">
        <v>2016</v>
      </c>
      <c r="E7" s="83">
        <v>2017</v>
      </c>
      <c r="F7" s="83">
        <v>2018</v>
      </c>
      <c r="G7" s="83">
        <v>2019</v>
      </c>
      <c r="H7" s="83">
        <v>2020</v>
      </c>
      <c r="I7" s="83">
        <v>2021</v>
      </c>
      <c r="J7" s="83">
        <v>2022</v>
      </c>
      <c r="K7" s="84">
        <v>2023</v>
      </c>
    </row>
    <row r="8" spans="2:13">
      <c r="B8" s="6" t="s">
        <v>2</v>
      </c>
      <c r="C8" s="7"/>
      <c r="D8" s="7"/>
      <c r="E8" s="7"/>
      <c r="F8" s="7"/>
      <c r="G8" s="7"/>
      <c r="H8" s="8"/>
      <c r="I8" s="8"/>
      <c r="J8" s="8"/>
      <c r="K8" s="9"/>
    </row>
    <row r="9" spans="2:13">
      <c r="B9" s="10" t="s">
        <v>3</v>
      </c>
      <c r="C9" s="12"/>
      <c r="D9" s="11"/>
      <c r="E9" s="11"/>
      <c r="F9" s="11"/>
      <c r="G9" s="11"/>
      <c r="H9" s="13"/>
      <c r="I9" s="13"/>
      <c r="J9" s="13"/>
      <c r="K9" s="14"/>
    </row>
    <row r="10" spans="2:13">
      <c r="B10" s="15" t="s">
        <v>4</v>
      </c>
      <c r="C10" s="17">
        <v>744762.763036952</v>
      </c>
      <c r="D10" s="17">
        <v>628017.52673220041</v>
      </c>
      <c r="E10" s="16">
        <v>762824.99358131003</v>
      </c>
      <c r="F10" s="16">
        <v>656514.45662183035</v>
      </c>
      <c r="G10" s="16">
        <v>587787.05697493791</v>
      </c>
      <c r="H10" s="16">
        <v>495638.82391137374</v>
      </c>
      <c r="I10" s="16">
        <v>791238.08870361885</v>
      </c>
      <c r="J10" s="16">
        <v>1227798.5022598414</v>
      </c>
      <c r="K10" s="18">
        <v>1128927.3639817922</v>
      </c>
    </row>
    <row r="11" spans="2:13">
      <c r="B11" s="15" t="s">
        <v>5</v>
      </c>
      <c r="C11" s="17">
        <v>91150.964514785999</v>
      </c>
      <c r="D11" s="17">
        <v>81135.12812425071</v>
      </c>
      <c r="E11" s="16">
        <v>61684.125658816702</v>
      </c>
      <c r="F11" s="16">
        <v>72437.939907074106</v>
      </c>
      <c r="G11" s="16">
        <v>66846.052395926177</v>
      </c>
      <c r="H11" s="16">
        <v>24901.912015826172</v>
      </c>
      <c r="I11" s="16">
        <v>0</v>
      </c>
      <c r="J11" s="16">
        <v>11052.703063400031</v>
      </c>
      <c r="K11" s="18">
        <v>77798.249605282777</v>
      </c>
    </row>
    <row r="12" spans="2:13">
      <c r="B12" s="19" t="s">
        <v>12</v>
      </c>
      <c r="C12" s="21"/>
      <c r="D12" s="21"/>
      <c r="E12" s="20"/>
      <c r="F12" s="20"/>
      <c r="G12" s="20"/>
      <c r="H12" s="20"/>
      <c r="I12" s="20"/>
      <c r="J12" s="20"/>
      <c r="K12" s="14"/>
    </row>
    <row r="13" spans="2:13">
      <c r="B13" s="15" t="s">
        <v>6</v>
      </c>
      <c r="C13" s="21">
        <v>0</v>
      </c>
      <c r="D13" s="17">
        <v>1924.3661308860928</v>
      </c>
      <c r="E13" s="16">
        <v>1735.6235512910071</v>
      </c>
      <c r="F13" s="16">
        <v>790.95897576981235</v>
      </c>
      <c r="G13" s="16">
        <v>12884.941740592645</v>
      </c>
      <c r="H13" s="16">
        <v>32103.114495292652</v>
      </c>
      <c r="I13" s="16">
        <v>31352.730364574636</v>
      </c>
      <c r="J13" s="16">
        <v>25218.87914061861</v>
      </c>
      <c r="K13" s="18">
        <v>18451.418617297804</v>
      </c>
    </row>
    <row r="14" spans="2:13">
      <c r="B14" s="15" t="s">
        <v>7</v>
      </c>
      <c r="C14" s="17">
        <v>66560.480498094301</v>
      </c>
      <c r="D14" s="17">
        <v>4035.5919502741917</v>
      </c>
      <c r="E14" s="16">
        <v>862.78969294861906</v>
      </c>
      <c r="F14" s="16">
        <v>129.03636363636363</v>
      </c>
      <c r="G14" s="16">
        <v>1670.1667204221631</v>
      </c>
      <c r="H14" s="16">
        <v>501821.82207571989</v>
      </c>
      <c r="I14" s="16">
        <v>369345.98857692495</v>
      </c>
      <c r="J14" s="16">
        <v>356227.37842758169</v>
      </c>
      <c r="K14" s="18">
        <v>1012028.2687036422</v>
      </c>
    </row>
    <row r="15" spans="2:13">
      <c r="B15" s="15" t="s">
        <v>8</v>
      </c>
      <c r="C15" s="21">
        <v>0</v>
      </c>
      <c r="D15" s="21">
        <v>0</v>
      </c>
      <c r="E15" s="16">
        <v>2313.2073967296315</v>
      </c>
      <c r="F15" s="16">
        <v>79.962680765044311</v>
      </c>
      <c r="G15" s="16">
        <v>2212.2802622391778</v>
      </c>
      <c r="H15" s="16">
        <v>11586.779162873197</v>
      </c>
      <c r="I15" s="16">
        <v>369.99363923576266</v>
      </c>
      <c r="J15" s="16">
        <v>0</v>
      </c>
      <c r="K15" s="18">
        <v>0</v>
      </c>
    </row>
    <row r="16" spans="2:13">
      <c r="B16" s="15" t="s">
        <v>9</v>
      </c>
      <c r="C16" s="17">
        <v>41805.427677225998</v>
      </c>
      <c r="D16" s="21">
        <v>0</v>
      </c>
      <c r="E16" s="16">
        <v>5718.2422835416191</v>
      </c>
      <c r="F16" s="20">
        <v>0</v>
      </c>
      <c r="G16" s="16">
        <v>446.51979490331263</v>
      </c>
      <c r="H16" s="16">
        <v>261047.82914666584</v>
      </c>
      <c r="I16" s="16">
        <v>214634.73664698834</v>
      </c>
      <c r="J16" s="16">
        <v>195011.62298730377</v>
      </c>
      <c r="K16" s="18">
        <v>443047.58181283798</v>
      </c>
    </row>
    <row r="17" spans="2:11">
      <c r="B17" s="15" t="s">
        <v>10</v>
      </c>
      <c r="C17" s="21">
        <v>0</v>
      </c>
      <c r="D17" s="21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18">
        <v>0</v>
      </c>
    </row>
    <row r="18" spans="2:11">
      <c r="B18" s="15" t="s">
        <v>11</v>
      </c>
      <c r="C18" s="21">
        <v>0</v>
      </c>
      <c r="D18" s="21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18">
        <v>0</v>
      </c>
    </row>
    <row r="19" spans="2:11">
      <c r="B19" s="19" t="s">
        <v>411</v>
      </c>
      <c r="C19" s="21"/>
      <c r="D19" s="21"/>
      <c r="E19" s="20"/>
      <c r="F19" s="20"/>
      <c r="G19" s="20"/>
      <c r="H19" s="20"/>
      <c r="I19" s="20"/>
      <c r="J19" s="20"/>
      <c r="K19" s="18"/>
    </row>
    <row r="20" spans="2:11">
      <c r="B20" s="15" t="s">
        <v>13</v>
      </c>
      <c r="C20" s="17">
        <v>6605360.9959907001</v>
      </c>
      <c r="D20" s="17">
        <v>5198647.606551012</v>
      </c>
      <c r="E20" s="16">
        <v>6602196.7202572869</v>
      </c>
      <c r="F20" s="16">
        <v>6774622.6565211872</v>
      </c>
      <c r="G20" s="16">
        <v>6703616.1980326716</v>
      </c>
      <c r="H20" s="16">
        <v>5147316.0446264232</v>
      </c>
      <c r="I20" s="16">
        <v>8696279.42668714</v>
      </c>
      <c r="J20" s="16">
        <v>13517138.607262736</v>
      </c>
      <c r="K20" s="18">
        <v>14786721.867502881</v>
      </c>
    </row>
    <row r="21" spans="2:11">
      <c r="B21" s="15" t="s">
        <v>14</v>
      </c>
      <c r="C21" s="17">
        <v>2653099.9543458531</v>
      </c>
      <c r="D21" s="17">
        <v>3408833.4653089</v>
      </c>
      <c r="E21" s="16">
        <v>2455753.658001998</v>
      </c>
      <c r="F21" s="16">
        <v>3212820.5380078759</v>
      </c>
      <c r="G21" s="16">
        <v>1504539.3307326429</v>
      </c>
      <c r="H21" s="16">
        <v>4046353.8611235893</v>
      </c>
      <c r="I21" s="16">
        <v>6644207.564006119</v>
      </c>
      <c r="J21" s="16">
        <v>7878440.6538521331</v>
      </c>
      <c r="K21" s="18">
        <v>3750913.6993469298</v>
      </c>
    </row>
    <row r="22" spans="2:11">
      <c r="B22" s="22" t="s">
        <v>15</v>
      </c>
      <c r="C22" s="17">
        <v>203068.97508510831</v>
      </c>
      <c r="D22" s="21">
        <v>0</v>
      </c>
      <c r="E22" s="20">
        <v>0</v>
      </c>
      <c r="F22" s="20">
        <v>0</v>
      </c>
      <c r="G22" s="20">
        <v>0</v>
      </c>
      <c r="H22" s="20">
        <v>0</v>
      </c>
      <c r="I22" s="17">
        <v>51983.468567725213</v>
      </c>
      <c r="J22" s="17">
        <v>31803.02219914319</v>
      </c>
      <c r="K22" s="18">
        <v>718013.66020881361</v>
      </c>
    </row>
    <row r="23" spans="2:11">
      <c r="B23" s="22" t="s">
        <v>16</v>
      </c>
      <c r="C23" s="17">
        <v>4418.6116792869698</v>
      </c>
      <c r="D23" s="17">
        <v>5057.9486875561979</v>
      </c>
      <c r="E23" s="16">
        <v>3442.1911453920075</v>
      </c>
      <c r="F23" s="16">
        <v>1164.6259242759145</v>
      </c>
      <c r="G23" s="16">
        <v>0</v>
      </c>
      <c r="H23" s="16">
        <v>0</v>
      </c>
      <c r="I23" s="16">
        <v>0</v>
      </c>
      <c r="J23" s="16">
        <v>0</v>
      </c>
      <c r="K23" s="18">
        <v>0</v>
      </c>
    </row>
    <row r="24" spans="2:11">
      <c r="B24" s="6" t="s">
        <v>17</v>
      </c>
      <c r="C24" s="24"/>
      <c r="D24" s="23"/>
      <c r="E24" s="23"/>
      <c r="F24" s="23"/>
      <c r="G24" s="25"/>
      <c r="H24" s="26"/>
      <c r="I24" s="26"/>
      <c r="J24" s="26"/>
      <c r="K24" s="27"/>
    </row>
    <row r="25" spans="2:11">
      <c r="B25" s="28" t="s">
        <v>18</v>
      </c>
      <c r="C25" s="29"/>
      <c r="D25" s="20"/>
      <c r="E25" s="20"/>
      <c r="F25" s="20"/>
      <c r="G25" s="11"/>
      <c r="H25" s="13"/>
      <c r="I25" s="13"/>
      <c r="J25" s="13"/>
      <c r="K25" s="14"/>
    </row>
    <row r="26" spans="2:11">
      <c r="B26" s="15" t="s">
        <v>19</v>
      </c>
      <c r="C26" s="17">
        <v>0</v>
      </c>
      <c r="D26" s="17">
        <v>84525.359255704403</v>
      </c>
      <c r="E26" s="16">
        <v>429232.01768591651</v>
      </c>
      <c r="F26" s="17">
        <v>222220.80715244636</v>
      </c>
      <c r="G26" s="17">
        <v>714337.56001196045</v>
      </c>
      <c r="H26" s="17">
        <v>1034167.5028911484</v>
      </c>
      <c r="I26" s="17">
        <v>821746.16940904781</v>
      </c>
      <c r="J26" s="17">
        <v>650054.41668781207</v>
      </c>
      <c r="K26" s="18">
        <v>1617411.8070787848</v>
      </c>
    </row>
    <row r="27" spans="2:11">
      <c r="B27" s="15" t="s">
        <v>20</v>
      </c>
      <c r="C27" s="17">
        <v>0</v>
      </c>
      <c r="D27" s="17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8">
        <v>0</v>
      </c>
    </row>
    <row r="28" spans="2:11">
      <c r="B28" s="15" t="s">
        <v>21</v>
      </c>
      <c r="C28" s="17">
        <v>0</v>
      </c>
      <c r="D28" s="17">
        <v>2085.9880986880898</v>
      </c>
      <c r="E28" s="16">
        <v>0</v>
      </c>
      <c r="F28" s="16">
        <v>907.92722989038703</v>
      </c>
      <c r="G28" s="16">
        <v>0</v>
      </c>
      <c r="H28" s="16">
        <v>2082.554289343826</v>
      </c>
      <c r="I28" s="16">
        <v>245.92611795204147</v>
      </c>
      <c r="J28" s="16">
        <v>0</v>
      </c>
      <c r="K28" s="18">
        <v>549.23780039335156</v>
      </c>
    </row>
    <row r="29" spans="2:11">
      <c r="B29" s="15" t="s">
        <v>22</v>
      </c>
      <c r="C29" s="30">
        <v>6820.0263995581372</v>
      </c>
      <c r="D29" s="17">
        <v>899.68451782199895</v>
      </c>
      <c r="E29" s="16">
        <v>84003.351150320479</v>
      </c>
      <c r="F29" s="16">
        <v>349.39696969696973</v>
      </c>
      <c r="G29" s="16">
        <v>3692.1908758310901</v>
      </c>
      <c r="H29" s="16">
        <v>19447.275093366501</v>
      </c>
      <c r="I29" s="16">
        <v>16279.382510487441</v>
      </c>
      <c r="J29" s="16">
        <v>8377.3490946379352</v>
      </c>
      <c r="K29" s="18">
        <v>16211.622731625621</v>
      </c>
    </row>
    <row r="30" spans="2:11">
      <c r="B30" s="15" t="s">
        <v>23</v>
      </c>
      <c r="C30" s="17">
        <v>0</v>
      </c>
      <c r="D30" s="17">
        <v>0</v>
      </c>
      <c r="E30" s="16">
        <v>0</v>
      </c>
      <c r="F30" s="16">
        <v>0</v>
      </c>
      <c r="G30" s="16">
        <v>184667.48005688601</v>
      </c>
      <c r="H30" s="16">
        <v>3095.43043413839</v>
      </c>
      <c r="I30" s="16">
        <v>1989.8731995568137</v>
      </c>
      <c r="J30" s="16">
        <v>128098.62353567625</v>
      </c>
      <c r="K30" s="18">
        <v>583927.53496499057</v>
      </c>
    </row>
    <row r="31" spans="2:11">
      <c r="B31" s="15" t="s">
        <v>24</v>
      </c>
      <c r="C31" s="30">
        <v>38205.034385827901</v>
      </c>
      <c r="D31" s="17">
        <v>40555.631409238747</v>
      </c>
      <c r="E31" s="16">
        <v>228860.66065458636</v>
      </c>
      <c r="F31" s="16">
        <v>27774.614755506944</v>
      </c>
      <c r="G31" s="16">
        <v>207648.02843038057</v>
      </c>
      <c r="H31" s="16">
        <v>253398.40369072839</v>
      </c>
      <c r="I31" s="16">
        <v>337382.38115874218</v>
      </c>
      <c r="J31" s="16">
        <v>208285.80879295271</v>
      </c>
      <c r="K31" s="18">
        <v>464548.01406489365</v>
      </c>
    </row>
    <row r="32" spans="2:11">
      <c r="B32" s="15" t="s">
        <v>25</v>
      </c>
      <c r="C32" s="30">
        <v>4245.3138970533437</v>
      </c>
      <c r="D32" s="17">
        <v>4435.9478696313199</v>
      </c>
      <c r="E32" s="16">
        <v>24001.793413236879</v>
      </c>
      <c r="F32" s="16">
        <v>4962.360187201547</v>
      </c>
      <c r="G32" s="16">
        <v>32551.344524207332</v>
      </c>
      <c r="H32" s="16">
        <v>45501.023252555744</v>
      </c>
      <c r="I32" s="16">
        <v>38031.194410776348</v>
      </c>
      <c r="J32" s="16">
        <v>29031.109106091844</v>
      </c>
      <c r="K32" s="18">
        <v>78409.549755013795</v>
      </c>
    </row>
    <row r="33" spans="2:11">
      <c r="B33" s="28" t="s">
        <v>26</v>
      </c>
      <c r="C33" s="30"/>
      <c r="D33" s="17"/>
      <c r="E33" s="16"/>
      <c r="F33" s="16"/>
      <c r="G33" s="16"/>
      <c r="H33" s="16"/>
      <c r="I33" s="16"/>
      <c r="J33" s="16"/>
      <c r="K33" s="14"/>
    </row>
    <row r="34" spans="2:11">
      <c r="B34" s="15" t="s">
        <v>27</v>
      </c>
      <c r="C34" s="17">
        <v>0</v>
      </c>
      <c r="D34" s="17">
        <v>0</v>
      </c>
      <c r="E34" s="16">
        <v>123983.84603527906</v>
      </c>
      <c r="F34" s="17">
        <v>60093.534321105573</v>
      </c>
      <c r="G34" s="17">
        <v>65869.511992016487</v>
      </c>
      <c r="H34" s="17">
        <v>26258.339030324896</v>
      </c>
      <c r="I34" s="17">
        <v>55112.443901926468</v>
      </c>
      <c r="J34" s="17">
        <v>1769408.3689496615</v>
      </c>
      <c r="K34" s="18">
        <v>746944.34073050856</v>
      </c>
    </row>
    <row r="35" spans="2:11">
      <c r="B35" s="15" t="s">
        <v>28</v>
      </c>
      <c r="C35" s="17">
        <v>19823.439565597073</v>
      </c>
      <c r="D35" s="17">
        <v>55113.874889398998</v>
      </c>
      <c r="E35" s="16">
        <v>10054.366166417713</v>
      </c>
      <c r="F35" s="17">
        <v>89482.160890179191</v>
      </c>
      <c r="G35" s="17">
        <v>73667.426126339429</v>
      </c>
      <c r="H35" s="17">
        <v>134213.12644804642</v>
      </c>
      <c r="I35" s="17">
        <v>111172.49901198792</v>
      </c>
      <c r="J35" s="17">
        <v>0</v>
      </c>
      <c r="K35" s="18">
        <v>16285.623008995455</v>
      </c>
    </row>
    <row r="36" spans="2:11">
      <c r="B36" s="15" t="s">
        <v>29</v>
      </c>
      <c r="C36" s="17">
        <v>0</v>
      </c>
      <c r="D36" s="17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8">
        <v>0</v>
      </c>
    </row>
    <row r="37" spans="2:11">
      <c r="B37" s="28" t="s">
        <v>30</v>
      </c>
      <c r="C37" s="30"/>
      <c r="D37" s="30"/>
      <c r="E37" s="30"/>
      <c r="F37" s="30"/>
      <c r="G37" s="30"/>
      <c r="H37" s="30"/>
      <c r="I37" s="30"/>
      <c r="J37" s="30"/>
      <c r="K37" s="14"/>
    </row>
    <row r="38" spans="2:11">
      <c r="B38" s="15" t="s">
        <v>31</v>
      </c>
      <c r="C38" s="17">
        <v>0</v>
      </c>
      <c r="D38" s="17">
        <v>0</v>
      </c>
      <c r="E38" s="16">
        <v>41848.741158055942</v>
      </c>
      <c r="F38" s="16">
        <v>0</v>
      </c>
      <c r="G38" s="16">
        <v>0</v>
      </c>
      <c r="H38" s="16">
        <v>407228.39428866195</v>
      </c>
      <c r="I38" s="16">
        <v>438227.55449639133</v>
      </c>
      <c r="J38" s="16">
        <v>420557.16114370665</v>
      </c>
      <c r="K38" s="18">
        <v>547576.13597435632</v>
      </c>
    </row>
    <row r="39" spans="2:11">
      <c r="B39" s="15" t="s">
        <v>14</v>
      </c>
      <c r="C39" s="17">
        <v>0</v>
      </c>
      <c r="D39" s="17">
        <v>0</v>
      </c>
      <c r="E39" s="16">
        <v>226770.36990685115</v>
      </c>
      <c r="F39" s="16">
        <v>257650.19594133459</v>
      </c>
      <c r="G39" s="16">
        <v>226785.941268992</v>
      </c>
      <c r="H39" s="16">
        <v>386755.40950057143</v>
      </c>
      <c r="I39" s="16">
        <v>257437.04843458463</v>
      </c>
      <c r="J39" s="16">
        <v>1056260.3908778569</v>
      </c>
      <c r="K39" s="18">
        <v>1558204.2299958512</v>
      </c>
    </row>
    <row r="40" spans="2:11">
      <c r="B40" s="15" t="s">
        <v>32</v>
      </c>
      <c r="C40" s="17">
        <v>0</v>
      </c>
      <c r="D40" s="17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8">
        <v>0</v>
      </c>
    </row>
    <row r="41" spans="2:11">
      <c r="B41" s="6" t="s">
        <v>33</v>
      </c>
      <c r="C41" s="32"/>
      <c r="D41" s="31"/>
      <c r="E41" s="31"/>
      <c r="F41" s="31"/>
      <c r="G41" s="25"/>
      <c r="H41" s="26"/>
      <c r="I41" s="26"/>
      <c r="J41" s="26"/>
      <c r="K41" s="27"/>
    </row>
    <row r="42" spans="2:11">
      <c r="B42" s="15" t="s">
        <v>34</v>
      </c>
      <c r="C42" s="17">
        <v>214735.668972916</v>
      </c>
      <c r="D42" s="17">
        <v>292297.92479149299</v>
      </c>
      <c r="E42" s="16">
        <v>180602.9169613226</v>
      </c>
      <c r="F42" s="16">
        <v>115562.08495656605</v>
      </c>
      <c r="G42" s="16">
        <v>79753.200144520728</v>
      </c>
      <c r="H42" s="16">
        <v>55023.092819795682</v>
      </c>
      <c r="I42" s="16">
        <v>431953.62170472794</v>
      </c>
      <c r="J42" s="16">
        <v>38213.391820872886</v>
      </c>
      <c r="K42" s="18">
        <v>63982.072006174931</v>
      </c>
    </row>
    <row r="43" spans="2:11">
      <c r="B43" s="15" t="s">
        <v>35</v>
      </c>
      <c r="C43" s="17">
        <v>8185.0838192537767</v>
      </c>
      <c r="D43" s="17">
        <v>9693.7142015367899</v>
      </c>
      <c r="E43" s="16">
        <v>8594.389751352408</v>
      </c>
      <c r="F43" s="16">
        <v>9015.7089504143569</v>
      </c>
      <c r="G43" s="16">
        <v>7302.7935668087366</v>
      </c>
      <c r="H43" s="16">
        <v>9687.8636162668608</v>
      </c>
      <c r="I43" s="16">
        <v>13846.302597921924</v>
      </c>
      <c r="J43" s="16">
        <v>16593.904259291787</v>
      </c>
      <c r="K43" s="18">
        <v>7262.8802686631198</v>
      </c>
    </row>
    <row r="44" spans="2:11">
      <c r="B44" s="15" t="s">
        <v>36</v>
      </c>
      <c r="C44" s="17">
        <v>91366.787691751917</v>
      </c>
      <c r="D44" s="17">
        <v>61725.183167732401</v>
      </c>
      <c r="E44" s="16">
        <v>53489.093109769216</v>
      </c>
      <c r="F44" s="17">
        <v>81869.686555127162</v>
      </c>
      <c r="G44" s="17">
        <v>12050.604705119404</v>
      </c>
      <c r="H44" s="17">
        <v>0</v>
      </c>
      <c r="I44" s="17">
        <v>79.185259463524702</v>
      </c>
      <c r="J44" s="17">
        <v>0</v>
      </c>
      <c r="K44" s="18">
        <v>0</v>
      </c>
    </row>
    <row r="45" spans="2:11">
      <c r="B45" s="15" t="s">
        <v>37</v>
      </c>
      <c r="C45" s="17">
        <v>51133.552585368627</v>
      </c>
      <c r="D45" s="17">
        <v>91845.429407279502</v>
      </c>
      <c r="E45" s="16">
        <v>183501.174119904</v>
      </c>
      <c r="F45" s="17">
        <v>275257.58274782891</v>
      </c>
      <c r="G45" s="17">
        <v>209032.40989208507</v>
      </c>
      <c r="H45" s="17">
        <v>114225.07873101979</v>
      </c>
      <c r="I45" s="17">
        <v>127880.88590796068</v>
      </c>
      <c r="J45" s="17">
        <v>3497972.9967610999</v>
      </c>
      <c r="K45" s="18">
        <v>1816882.2752434495</v>
      </c>
    </row>
    <row r="46" spans="2:11">
      <c r="B46" s="15" t="s">
        <v>38</v>
      </c>
      <c r="C46" s="17">
        <v>22340.682063766701</v>
      </c>
      <c r="D46" s="17">
        <v>15628.030713013</v>
      </c>
      <c r="E46" s="16">
        <v>10575.049782668355</v>
      </c>
      <c r="F46" s="16">
        <v>26051.188384871362</v>
      </c>
      <c r="G46" s="16">
        <v>9423.4400868023386</v>
      </c>
      <c r="H46" s="16">
        <v>5920.5529641460162</v>
      </c>
      <c r="I46" s="16">
        <v>9081.1067321589744</v>
      </c>
      <c r="J46" s="16">
        <v>13353.167074839108</v>
      </c>
      <c r="K46" s="18">
        <v>12104.33923991815</v>
      </c>
    </row>
    <row r="47" spans="2:11">
      <c r="B47" s="15" t="s">
        <v>39</v>
      </c>
      <c r="C47" s="17">
        <v>45908.6024300391</v>
      </c>
      <c r="D47" s="17">
        <v>30128.554211501702</v>
      </c>
      <c r="E47" s="16">
        <v>13954.792896783842</v>
      </c>
      <c r="F47" s="16">
        <v>8654.1821669915498</v>
      </c>
      <c r="G47" s="16">
        <v>16152.859164311156</v>
      </c>
      <c r="H47" s="16">
        <v>15863.548573141426</v>
      </c>
      <c r="I47" s="16">
        <v>6264.0397299776414</v>
      </c>
      <c r="J47" s="16">
        <v>6339.9254407154958</v>
      </c>
      <c r="K47" s="18">
        <v>10522.437898030341</v>
      </c>
    </row>
    <row r="48" spans="2:11" ht="15" thickBot="1">
      <c r="B48" s="33" t="s">
        <v>40</v>
      </c>
      <c r="C48" s="35">
        <v>1809921.1811074915</v>
      </c>
      <c r="D48" s="35">
        <v>584243.44050883804</v>
      </c>
      <c r="E48" s="35">
        <v>2530045.9857590091</v>
      </c>
      <c r="F48" s="34">
        <v>913871.77218580549</v>
      </c>
      <c r="G48" s="34">
        <v>1124907.1055798901</v>
      </c>
      <c r="H48" s="34">
        <v>612740.09505252901</v>
      </c>
      <c r="I48" s="34">
        <v>963409.90125798003</v>
      </c>
      <c r="J48" s="34">
        <v>3781691.0609653792</v>
      </c>
      <c r="K48" s="36">
        <v>3370373.0013421099</v>
      </c>
    </row>
    <row r="49" spans="3:13">
      <c r="K49" s="1"/>
    </row>
    <row r="50" spans="3:13">
      <c r="C50" s="408">
        <f t="shared" ref="C50:K50" si="0">SUM(C10:C48)</f>
        <v>12722913.545746632</v>
      </c>
      <c r="D50" s="408">
        <f t="shared" si="0"/>
        <v>10600830.396526957</v>
      </c>
      <c r="E50" s="408">
        <f t="shared" si="0"/>
        <v>14046050.10012079</v>
      </c>
      <c r="F50" s="408">
        <f t="shared" si="0"/>
        <v>12812283.378397381</v>
      </c>
      <c r="G50" s="408">
        <f t="shared" si="0"/>
        <v>11847844.443080485</v>
      </c>
      <c r="H50" s="408">
        <f t="shared" si="0"/>
        <v>13646377.87723355</v>
      </c>
      <c r="I50" s="408">
        <f t="shared" si="0"/>
        <v>20429551.513033975</v>
      </c>
      <c r="J50" s="408">
        <f t="shared" si="0"/>
        <v>34866929.043703355</v>
      </c>
      <c r="K50" s="408">
        <f t="shared" si="0"/>
        <v>32847097.211883232</v>
      </c>
    </row>
    <row r="51" spans="3:13">
      <c r="C51" s="408"/>
      <c r="D51" s="408"/>
      <c r="E51" s="408"/>
      <c r="F51" s="408"/>
      <c r="G51" s="408"/>
      <c r="H51" s="408"/>
      <c r="I51" s="408"/>
      <c r="J51" s="408"/>
      <c r="K51" s="408"/>
      <c r="L51" s="408"/>
      <c r="M51" s="412"/>
    </row>
    <row r="52" spans="3:13">
      <c r="C52" s="373"/>
      <c r="D52" s="373"/>
    </row>
    <row r="53" spans="3:13">
      <c r="C53" s="373"/>
      <c r="D53" s="373"/>
    </row>
    <row r="54" spans="3:13">
      <c r="C54" s="373"/>
      <c r="D54" s="373"/>
    </row>
    <row r="55" spans="3:13">
      <c r="C55" s="110"/>
      <c r="D55" s="11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A576A-130A-40F6-9DCD-E07718EBAA13}">
  <sheetPr>
    <tabColor theme="9" tint="-0.249977111117893"/>
  </sheetPr>
  <dimension ref="B4:O54"/>
  <sheetViews>
    <sheetView showGridLines="0" topLeftCell="A18" zoomScale="90" zoomScaleNormal="90" workbookViewId="0">
      <selection activeCell="H51" sqref="H51"/>
    </sheetView>
  </sheetViews>
  <sheetFormatPr baseColWidth="10" defaultColWidth="9.1796875" defaultRowHeight="14.5"/>
  <cols>
    <col min="1" max="1" width="9.1796875" style="3"/>
    <col min="2" max="2" width="62" style="3" bestFit="1" customWidth="1"/>
    <col min="3" max="3" width="17.54296875" style="39" bestFit="1" customWidth="1"/>
    <col min="4" max="12" width="10.1796875" style="3" bestFit="1" customWidth="1"/>
    <col min="13" max="14" width="11.26953125" style="3" bestFit="1" customWidth="1"/>
    <col min="15" max="15" width="9.1796875" style="1"/>
    <col min="16" max="16384" width="9.1796875" style="3"/>
  </cols>
  <sheetData>
    <row r="4" spans="2:15">
      <c r="B4" s="2" t="s">
        <v>43</v>
      </c>
      <c r="C4" s="37"/>
      <c r="O4" s="3"/>
    </row>
    <row r="5" spans="2:15">
      <c r="B5" s="4"/>
      <c r="C5" s="38"/>
      <c r="O5" s="3"/>
    </row>
    <row r="6" spans="2:15" ht="15" thickBot="1">
      <c r="O6" s="3"/>
    </row>
    <row r="7" spans="2:15">
      <c r="B7" s="82" t="s">
        <v>0</v>
      </c>
      <c r="C7" s="123" t="s">
        <v>1</v>
      </c>
      <c r="D7" s="83">
        <v>2015</v>
      </c>
      <c r="E7" s="83">
        <v>2016</v>
      </c>
      <c r="F7" s="83">
        <v>2017</v>
      </c>
      <c r="G7" s="83">
        <v>2018</v>
      </c>
      <c r="H7" s="83">
        <v>2019</v>
      </c>
      <c r="I7" s="83">
        <v>2020</v>
      </c>
      <c r="J7" s="83">
        <v>2021</v>
      </c>
      <c r="K7" s="83">
        <v>2022</v>
      </c>
      <c r="L7" s="84">
        <v>2023</v>
      </c>
      <c r="O7" s="3"/>
    </row>
    <row r="8" spans="2:15">
      <c r="B8" s="6" t="s">
        <v>2</v>
      </c>
      <c r="C8" s="40"/>
      <c r="D8" s="7"/>
      <c r="E8" s="7"/>
      <c r="F8" s="7"/>
      <c r="G8" s="7"/>
      <c r="H8" s="7"/>
      <c r="I8" s="8"/>
      <c r="J8" s="8"/>
      <c r="K8" s="8"/>
      <c r="L8" s="9"/>
      <c r="O8" s="3"/>
    </row>
    <row r="9" spans="2:15">
      <c r="B9" s="10" t="s">
        <v>3</v>
      </c>
      <c r="C9" s="41"/>
      <c r="D9" s="12"/>
      <c r="E9" s="11"/>
      <c r="F9" s="11"/>
      <c r="G9" s="11"/>
      <c r="H9" s="11"/>
      <c r="I9" s="13"/>
      <c r="J9" s="13"/>
      <c r="K9" s="13"/>
      <c r="L9" s="14"/>
      <c r="O9" s="3"/>
    </row>
    <row r="10" spans="2:15">
      <c r="B10" s="15" t="s">
        <v>4</v>
      </c>
      <c r="C10" s="42" t="s">
        <v>44</v>
      </c>
      <c r="D10" s="17">
        <v>1534982.5759999969</v>
      </c>
      <c r="E10" s="17">
        <v>1165293.3150000004</v>
      </c>
      <c r="F10" s="16">
        <v>1400507.6218611803</v>
      </c>
      <c r="G10" s="16">
        <v>1188808.3115026432</v>
      </c>
      <c r="H10" s="16">
        <v>1025242.0930158789</v>
      </c>
      <c r="I10" s="16">
        <v>856877.02382337803</v>
      </c>
      <c r="J10" s="16">
        <v>1329863.6588482994</v>
      </c>
      <c r="K10" s="16">
        <v>1924076.8979253883</v>
      </c>
      <c r="L10" s="18">
        <v>1667179.590461588</v>
      </c>
      <c r="O10" s="3"/>
    </row>
    <row r="11" spans="2:15">
      <c r="B11" s="15" t="s">
        <v>5</v>
      </c>
      <c r="C11" s="42" t="s">
        <v>45</v>
      </c>
      <c r="D11" s="17">
        <v>15184</v>
      </c>
      <c r="E11" s="17">
        <v>13455</v>
      </c>
      <c r="F11" s="16">
        <v>10092.131771937824</v>
      </c>
      <c r="G11" s="16">
        <v>11635</v>
      </c>
      <c r="H11" s="16">
        <v>10528</v>
      </c>
      <c r="I11" s="16">
        <v>3919</v>
      </c>
      <c r="J11" s="16">
        <v>0</v>
      </c>
      <c r="K11" s="16">
        <v>1470</v>
      </c>
      <c r="L11" s="18">
        <v>10174</v>
      </c>
      <c r="O11" s="3"/>
    </row>
    <row r="12" spans="2:15">
      <c r="B12" s="19" t="s">
        <v>12</v>
      </c>
      <c r="C12" s="43"/>
      <c r="D12" s="21"/>
      <c r="E12" s="21"/>
      <c r="F12" s="20"/>
      <c r="G12" s="20"/>
      <c r="H12" s="20"/>
      <c r="I12" s="20"/>
      <c r="J12" s="20"/>
      <c r="K12" s="20"/>
      <c r="L12" s="14"/>
      <c r="O12" s="3"/>
    </row>
    <row r="13" spans="2:15">
      <c r="B13" s="15" t="s">
        <v>6</v>
      </c>
      <c r="C13" s="42" t="s">
        <v>46</v>
      </c>
      <c r="D13" s="21">
        <v>0</v>
      </c>
      <c r="E13" s="17">
        <v>18</v>
      </c>
      <c r="F13" s="16">
        <v>13.999383524697542</v>
      </c>
      <c r="G13" s="16">
        <v>7</v>
      </c>
      <c r="H13" s="16">
        <v>116</v>
      </c>
      <c r="I13" s="16">
        <v>285</v>
      </c>
      <c r="J13" s="16">
        <v>268</v>
      </c>
      <c r="K13" s="16">
        <v>204</v>
      </c>
      <c r="L13" s="18">
        <v>136</v>
      </c>
      <c r="O13" s="3"/>
    </row>
    <row r="14" spans="2:15">
      <c r="B14" s="15" t="s">
        <v>7</v>
      </c>
      <c r="C14" s="42" t="s">
        <v>46</v>
      </c>
      <c r="D14" s="17">
        <v>474</v>
      </c>
      <c r="E14" s="17">
        <v>34</v>
      </c>
      <c r="F14" s="16">
        <v>7</v>
      </c>
      <c r="G14" s="16">
        <v>1</v>
      </c>
      <c r="H14" s="16">
        <v>13</v>
      </c>
      <c r="I14" s="16">
        <v>4030</v>
      </c>
      <c r="J14" s="16">
        <v>3127.1949635730125</v>
      </c>
      <c r="K14" s="16">
        <v>2755.0010216740857</v>
      </c>
      <c r="L14" s="18">
        <v>6185</v>
      </c>
      <c r="O14" s="3"/>
    </row>
    <row r="15" spans="2:15">
      <c r="B15" s="15" t="s">
        <v>8</v>
      </c>
      <c r="C15" s="42" t="s">
        <v>46</v>
      </c>
      <c r="D15" s="21">
        <v>0</v>
      </c>
      <c r="E15" s="21">
        <v>0</v>
      </c>
      <c r="F15" s="16">
        <v>66</v>
      </c>
      <c r="G15" s="16">
        <v>1</v>
      </c>
      <c r="H15" s="16">
        <v>97.00004413257426</v>
      </c>
      <c r="I15" s="16">
        <v>247</v>
      </c>
      <c r="J15" s="16">
        <v>8</v>
      </c>
      <c r="K15" s="16">
        <v>0</v>
      </c>
      <c r="L15" s="18">
        <v>0</v>
      </c>
      <c r="O15" s="3"/>
    </row>
    <row r="16" spans="2:15">
      <c r="B16" s="15" t="s">
        <v>9</v>
      </c>
      <c r="C16" s="42" t="s">
        <v>46</v>
      </c>
      <c r="D16" s="17">
        <v>537</v>
      </c>
      <c r="E16" s="21">
        <v>0</v>
      </c>
      <c r="F16" s="16">
        <v>118</v>
      </c>
      <c r="G16" s="20">
        <v>0</v>
      </c>
      <c r="H16" s="16">
        <v>17</v>
      </c>
      <c r="I16" s="16">
        <v>4800</v>
      </c>
      <c r="J16" s="16">
        <v>3943</v>
      </c>
      <c r="K16" s="16">
        <v>2934</v>
      </c>
      <c r="L16" s="18">
        <v>7000</v>
      </c>
      <c r="O16" s="3"/>
    </row>
    <row r="17" spans="2:15">
      <c r="B17" s="15" t="s">
        <v>10</v>
      </c>
      <c r="C17" s="42" t="s">
        <v>46</v>
      </c>
      <c r="D17" s="21">
        <v>0</v>
      </c>
      <c r="E17" s="21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18">
        <v>0</v>
      </c>
      <c r="O17" s="3"/>
    </row>
    <row r="18" spans="2:15">
      <c r="B18" s="15" t="s">
        <v>11</v>
      </c>
      <c r="C18" s="42" t="s">
        <v>46</v>
      </c>
      <c r="D18" s="21">
        <v>0</v>
      </c>
      <c r="E18" s="21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18">
        <v>0</v>
      </c>
      <c r="O18" s="3"/>
    </row>
    <row r="19" spans="2:15">
      <c r="B19" s="19" t="s">
        <v>411</v>
      </c>
      <c r="C19" s="42"/>
      <c r="D19" s="21"/>
      <c r="E19" s="21"/>
      <c r="F19" s="20"/>
      <c r="G19" s="20"/>
      <c r="H19" s="20"/>
      <c r="I19" s="20"/>
      <c r="J19" s="20"/>
      <c r="K19" s="20"/>
      <c r="L19" s="18"/>
      <c r="O19" s="3"/>
    </row>
    <row r="20" spans="2:15">
      <c r="B20" s="15" t="s">
        <v>13</v>
      </c>
      <c r="C20" s="42" t="s">
        <v>47</v>
      </c>
      <c r="D20" s="17">
        <v>1398275.4149999998</v>
      </c>
      <c r="E20" s="17">
        <v>1057453.48</v>
      </c>
      <c r="F20" s="16">
        <v>1331515.6010529129</v>
      </c>
      <c r="G20" s="16">
        <v>1347685.9111890607</v>
      </c>
      <c r="H20" s="16">
        <v>1303828.6429695389</v>
      </c>
      <c r="I20" s="16">
        <v>976427.96120000014</v>
      </c>
      <c r="J20" s="16">
        <v>1799421.9260757789</v>
      </c>
      <c r="K20" s="16">
        <v>2085784.9699999988</v>
      </c>
      <c r="L20" s="18">
        <v>2089492.3415898299</v>
      </c>
      <c r="O20" s="3"/>
    </row>
    <row r="21" spans="2:15">
      <c r="B21" s="15" t="s">
        <v>14</v>
      </c>
      <c r="C21" s="42" t="s">
        <v>47</v>
      </c>
      <c r="D21" s="17">
        <v>263524.61800000002</v>
      </c>
      <c r="E21" s="17">
        <v>344660.38200000004</v>
      </c>
      <c r="F21" s="16">
        <v>246729.12409825926</v>
      </c>
      <c r="G21" s="16">
        <v>318192.01400000002</v>
      </c>
      <c r="H21" s="16">
        <v>144647.92847890823</v>
      </c>
      <c r="I21" s="16">
        <v>390171.80073545157</v>
      </c>
      <c r="J21" s="16">
        <v>637330.34849999973</v>
      </c>
      <c r="K21" s="16">
        <v>686659.91459999874</v>
      </c>
      <c r="L21" s="18">
        <v>305691.50022335403</v>
      </c>
      <c r="O21" s="3"/>
    </row>
    <row r="22" spans="2:15">
      <c r="B22" s="22" t="s">
        <v>15</v>
      </c>
      <c r="C22" s="44" t="s">
        <v>47</v>
      </c>
      <c r="D22" s="17">
        <v>9631.0720000000001</v>
      </c>
      <c r="E22" s="21">
        <v>0</v>
      </c>
      <c r="F22" s="20">
        <v>0</v>
      </c>
      <c r="G22" s="20">
        <v>0</v>
      </c>
      <c r="H22" s="20">
        <v>0</v>
      </c>
      <c r="I22" s="20">
        <v>0</v>
      </c>
      <c r="J22" s="17">
        <v>2257.442</v>
      </c>
      <c r="K22" s="17">
        <v>1186.2380000000001</v>
      </c>
      <c r="L22" s="18">
        <v>26847.0418653454</v>
      </c>
      <c r="O22" s="3"/>
    </row>
    <row r="23" spans="2:15">
      <c r="B23" s="22" t="s">
        <v>16</v>
      </c>
      <c r="C23" s="44" t="s">
        <v>47</v>
      </c>
      <c r="D23" s="17">
        <v>4410.3670000000002</v>
      </c>
      <c r="E23" s="17">
        <v>5017.41</v>
      </c>
      <c r="F23" s="16">
        <v>3361.5478900503294</v>
      </c>
      <c r="G23" s="16">
        <v>1118</v>
      </c>
      <c r="H23" s="16">
        <v>0</v>
      </c>
      <c r="I23" s="16">
        <v>0</v>
      </c>
      <c r="J23" s="16">
        <v>0</v>
      </c>
      <c r="K23" s="16">
        <v>0</v>
      </c>
      <c r="L23" s="18">
        <v>0</v>
      </c>
      <c r="O23" s="3"/>
    </row>
    <row r="24" spans="2:15">
      <c r="B24" s="6" t="s">
        <v>17</v>
      </c>
      <c r="C24" s="40"/>
      <c r="D24" s="24"/>
      <c r="E24" s="23"/>
      <c r="F24" s="23"/>
      <c r="G24" s="23"/>
      <c r="H24" s="25"/>
      <c r="I24" s="26"/>
      <c r="J24" s="26"/>
      <c r="K24" s="26"/>
      <c r="L24" s="27"/>
      <c r="O24" s="3"/>
    </row>
    <row r="25" spans="2:15">
      <c r="B25" s="28" t="s">
        <v>18</v>
      </c>
      <c r="C25" s="43"/>
      <c r="D25" s="29"/>
      <c r="E25" s="20"/>
      <c r="F25" s="20"/>
      <c r="G25" s="20"/>
      <c r="H25" s="11"/>
      <c r="I25" s="13"/>
      <c r="J25" s="13"/>
      <c r="K25" s="13"/>
      <c r="L25" s="14"/>
      <c r="O25" s="3"/>
    </row>
    <row r="26" spans="2:15">
      <c r="B26" s="15" t="s">
        <v>19</v>
      </c>
      <c r="C26" s="42" t="s">
        <v>48</v>
      </c>
      <c r="D26" s="17">
        <v>0</v>
      </c>
      <c r="E26" s="17">
        <v>488</v>
      </c>
      <c r="F26" s="16">
        <v>2976</v>
      </c>
      <c r="G26" s="17">
        <v>1517</v>
      </c>
      <c r="H26" s="17">
        <v>3417</v>
      </c>
      <c r="I26" s="17">
        <v>4982</v>
      </c>
      <c r="J26" s="17">
        <v>3759.5538796861379</v>
      </c>
      <c r="K26" s="17">
        <v>2697</v>
      </c>
      <c r="L26" s="18">
        <v>6292</v>
      </c>
      <c r="O26" s="3"/>
    </row>
    <row r="27" spans="2:15">
      <c r="B27" s="15" t="s">
        <v>20</v>
      </c>
      <c r="C27" s="42" t="s">
        <v>48</v>
      </c>
      <c r="D27" s="17">
        <v>0</v>
      </c>
      <c r="E27" s="17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8">
        <v>0</v>
      </c>
      <c r="O27" s="3"/>
    </row>
    <row r="28" spans="2:15">
      <c r="B28" s="15" t="s">
        <v>21</v>
      </c>
      <c r="C28" s="42" t="s">
        <v>48</v>
      </c>
      <c r="D28" s="17">
        <v>0</v>
      </c>
      <c r="E28" s="17">
        <v>13</v>
      </c>
      <c r="F28" s="16">
        <v>0</v>
      </c>
      <c r="G28" s="16">
        <v>4</v>
      </c>
      <c r="H28" s="16">
        <v>0</v>
      </c>
      <c r="I28" s="16">
        <v>10</v>
      </c>
      <c r="J28" s="16">
        <v>2</v>
      </c>
      <c r="K28" s="16">
        <v>0</v>
      </c>
      <c r="L28" s="18">
        <v>2</v>
      </c>
      <c r="O28" s="3"/>
    </row>
    <row r="29" spans="2:15">
      <c r="B29" s="15" t="s">
        <v>22</v>
      </c>
      <c r="C29" s="42" t="s">
        <v>48</v>
      </c>
      <c r="D29" s="30">
        <v>22</v>
      </c>
      <c r="E29" s="17">
        <v>5</v>
      </c>
      <c r="F29" s="16">
        <v>176</v>
      </c>
      <c r="G29" s="16">
        <v>1</v>
      </c>
      <c r="H29" s="16">
        <v>13</v>
      </c>
      <c r="I29" s="16">
        <v>54</v>
      </c>
      <c r="J29" s="16">
        <v>46</v>
      </c>
      <c r="K29" s="16">
        <v>21</v>
      </c>
      <c r="L29" s="18">
        <v>42</v>
      </c>
      <c r="O29" s="3"/>
    </row>
    <row r="30" spans="2:15">
      <c r="B30" s="15" t="s">
        <v>23</v>
      </c>
      <c r="C30" s="42" t="s">
        <v>48</v>
      </c>
      <c r="D30" s="17">
        <v>0</v>
      </c>
      <c r="E30" s="17">
        <v>0</v>
      </c>
      <c r="F30" s="16">
        <v>0</v>
      </c>
      <c r="G30" s="16">
        <v>0</v>
      </c>
      <c r="H30" s="16">
        <v>301</v>
      </c>
      <c r="I30" s="16">
        <v>5</v>
      </c>
      <c r="J30" s="16">
        <v>3</v>
      </c>
      <c r="K30" s="16">
        <v>192</v>
      </c>
      <c r="L30" s="18">
        <v>799</v>
      </c>
      <c r="O30" s="3"/>
    </row>
    <row r="31" spans="2:15">
      <c r="B31" s="15" t="s">
        <v>24</v>
      </c>
      <c r="C31" s="42" t="s">
        <v>48</v>
      </c>
      <c r="D31" s="30">
        <v>819</v>
      </c>
      <c r="E31" s="17">
        <v>811</v>
      </c>
      <c r="F31" s="16">
        <v>3765</v>
      </c>
      <c r="G31" s="16">
        <v>579</v>
      </c>
      <c r="H31" s="16">
        <v>3778.0000000000005</v>
      </c>
      <c r="I31" s="16">
        <v>3779</v>
      </c>
      <c r="J31" s="16">
        <v>4507.9107012483273</v>
      </c>
      <c r="K31" s="16">
        <v>2670.7945350842292</v>
      </c>
      <c r="L31" s="18">
        <v>5308</v>
      </c>
      <c r="O31" s="3"/>
    </row>
    <row r="32" spans="2:15">
      <c r="B32" s="15" t="s">
        <v>25</v>
      </c>
      <c r="C32" s="42" t="s">
        <v>48</v>
      </c>
      <c r="D32" s="30">
        <v>424</v>
      </c>
      <c r="E32" s="17">
        <v>446</v>
      </c>
      <c r="F32" s="16">
        <v>2908</v>
      </c>
      <c r="G32" s="16">
        <v>584</v>
      </c>
      <c r="H32" s="16">
        <v>3084</v>
      </c>
      <c r="I32" s="16">
        <v>4259</v>
      </c>
      <c r="J32" s="16">
        <v>3529</v>
      </c>
      <c r="K32" s="16">
        <v>2075</v>
      </c>
      <c r="L32" s="18">
        <v>6300.003360117259</v>
      </c>
      <c r="O32" s="3"/>
    </row>
    <row r="33" spans="2:15">
      <c r="B33" s="28" t="s">
        <v>26</v>
      </c>
      <c r="C33" s="43"/>
      <c r="D33" s="30"/>
      <c r="E33" s="17"/>
      <c r="F33" s="16"/>
      <c r="G33" s="16"/>
      <c r="H33" s="16"/>
      <c r="I33" s="16"/>
      <c r="J33" s="16"/>
      <c r="K33" s="16"/>
      <c r="L33" s="14"/>
      <c r="O33" s="3"/>
    </row>
    <row r="34" spans="2:15" ht="16.5">
      <c r="B34" s="15" t="s">
        <v>27</v>
      </c>
      <c r="C34" s="42" t="s">
        <v>54</v>
      </c>
      <c r="D34" s="17">
        <v>0</v>
      </c>
      <c r="E34" s="17">
        <v>0</v>
      </c>
      <c r="F34" s="16">
        <v>40750.37053423169</v>
      </c>
      <c r="G34" s="17">
        <v>24789.014999999999</v>
      </c>
      <c r="H34" s="17">
        <v>24579.861000000004</v>
      </c>
      <c r="I34" s="17">
        <v>8312.4280000000017</v>
      </c>
      <c r="J34" s="17">
        <v>17035.561000000005</v>
      </c>
      <c r="K34" s="17">
        <v>492584.62599999981</v>
      </c>
      <c r="L34" s="18">
        <v>201924.44099999996</v>
      </c>
      <c r="O34" s="3"/>
    </row>
    <row r="35" spans="2:15">
      <c r="B35" s="15" t="s">
        <v>28</v>
      </c>
      <c r="C35" s="42" t="s">
        <v>47</v>
      </c>
      <c r="D35" s="17">
        <v>6311.07</v>
      </c>
      <c r="E35" s="17">
        <v>16345.01</v>
      </c>
      <c r="F35" s="16">
        <v>4009.7593714029272</v>
      </c>
      <c r="G35" s="17">
        <v>25046.775999999998</v>
      </c>
      <c r="H35" s="17">
        <v>19844.36</v>
      </c>
      <c r="I35" s="17">
        <v>33666.410000000003</v>
      </c>
      <c r="J35" s="17">
        <v>27476.009999999995</v>
      </c>
      <c r="K35" s="17">
        <v>0</v>
      </c>
      <c r="L35" s="18">
        <v>4540</v>
      </c>
      <c r="O35" s="3"/>
    </row>
    <row r="36" spans="2:15">
      <c r="B36" s="15" t="s">
        <v>29</v>
      </c>
      <c r="C36" s="42" t="s">
        <v>49</v>
      </c>
      <c r="D36" s="17">
        <v>0</v>
      </c>
      <c r="E36" s="17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8">
        <v>0</v>
      </c>
      <c r="O36" s="3"/>
    </row>
    <row r="37" spans="2:15">
      <c r="B37" s="28" t="s">
        <v>30</v>
      </c>
      <c r="C37" s="43"/>
      <c r="D37" s="30"/>
      <c r="E37" s="30"/>
      <c r="F37" s="30"/>
      <c r="G37" s="30"/>
      <c r="H37" s="30"/>
      <c r="I37" s="30"/>
      <c r="J37" s="30"/>
      <c r="K37" s="30"/>
      <c r="L37" s="14"/>
      <c r="O37" s="3"/>
    </row>
    <row r="38" spans="2:15">
      <c r="B38" s="15" t="s">
        <v>31</v>
      </c>
      <c r="C38" s="42" t="s">
        <v>50</v>
      </c>
      <c r="D38" s="17">
        <v>0</v>
      </c>
      <c r="E38" s="17">
        <v>0</v>
      </c>
      <c r="F38" s="16">
        <v>22621.752359082166</v>
      </c>
      <c r="G38" s="16">
        <v>0</v>
      </c>
      <c r="H38" s="16">
        <v>0</v>
      </c>
      <c r="I38" s="16">
        <v>148166.27768831173</v>
      </c>
      <c r="J38" s="16">
        <v>162375.82905269391</v>
      </c>
      <c r="K38" s="16">
        <v>152623.45454545456</v>
      </c>
      <c r="L38" s="18">
        <v>214999.52731478086</v>
      </c>
      <c r="O38" s="3"/>
    </row>
    <row r="39" spans="2:15">
      <c r="B39" s="15" t="s">
        <v>14</v>
      </c>
      <c r="C39" s="42" t="s">
        <v>50</v>
      </c>
      <c r="D39" s="17">
        <v>0</v>
      </c>
      <c r="E39" s="17">
        <v>0</v>
      </c>
      <c r="F39" s="16">
        <v>275178.66509065527</v>
      </c>
      <c r="G39" s="16">
        <v>207641.867</v>
      </c>
      <c r="H39" s="16">
        <v>142506.25231753552</v>
      </c>
      <c r="I39" s="16">
        <v>126735.29285714288</v>
      </c>
      <c r="J39" s="16">
        <v>99381.41516278396</v>
      </c>
      <c r="K39" s="16">
        <v>301168.9250000001</v>
      </c>
      <c r="L39" s="18">
        <v>277593.17700000003</v>
      </c>
      <c r="O39" s="3"/>
    </row>
    <row r="40" spans="2:15">
      <c r="B40" s="15" t="s">
        <v>32</v>
      </c>
      <c r="C40" s="42" t="s">
        <v>50</v>
      </c>
      <c r="D40" s="17">
        <v>0</v>
      </c>
      <c r="E40" s="17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8">
        <v>0</v>
      </c>
      <c r="O40" s="3"/>
    </row>
    <row r="41" spans="2:15">
      <c r="B41" s="6" t="s">
        <v>33</v>
      </c>
      <c r="C41" s="40"/>
      <c r="D41" s="32"/>
      <c r="E41" s="31"/>
      <c r="F41" s="31"/>
      <c r="G41" s="31"/>
      <c r="H41" s="25"/>
      <c r="I41" s="26"/>
      <c r="J41" s="26"/>
      <c r="K41" s="26"/>
      <c r="L41" s="27"/>
      <c r="O41" s="3"/>
    </row>
    <row r="42" spans="2:15" ht="16.5">
      <c r="B42" s="15" t="s">
        <v>34</v>
      </c>
      <c r="C42" s="42" t="s">
        <v>55</v>
      </c>
      <c r="D42" s="17">
        <v>243795.60173247501</v>
      </c>
      <c r="E42" s="17">
        <v>325347.32256939454</v>
      </c>
      <c r="F42" s="16">
        <v>197081.60648381626</v>
      </c>
      <c r="G42" s="16">
        <v>123633.60424255047</v>
      </c>
      <c r="H42" s="16">
        <v>83650.609204792534</v>
      </c>
      <c r="I42" s="16">
        <v>56580.374307276878</v>
      </c>
      <c r="J42" s="16">
        <v>435469.52327674319</v>
      </c>
      <c r="K42" s="16">
        <v>37769.050055513901</v>
      </c>
      <c r="L42" s="18">
        <v>61998.131788929197</v>
      </c>
      <c r="O42" s="3"/>
    </row>
    <row r="43" spans="2:15">
      <c r="B43" s="15" t="s">
        <v>35</v>
      </c>
      <c r="C43" s="42" t="s">
        <v>51</v>
      </c>
      <c r="D43" s="17">
        <v>9292.7618615489737</v>
      </c>
      <c r="E43" s="17">
        <v>10789.758303869763</v>
      </c>
      <c r="F43" s="16">
        <v>9378.5646845743759</v>
      </c>
      <c r="G43" s="16">
        <v>9645.4178094873187</v>
      </c>
      <c r="H43" s="16">
        <v>7659.6692001500833</v>
      </c>
      <c r="I43" s="16">
        <v>9962.0526865226002</v>
      </c>
      <c r="J43" s="16">
        <v>13959.005060928266</v>
      </c>
      <c r="K43" s="16">
        <v>16400.951884183742</v>
      </c>
      <c r="L43" s="18">
        <v>7037.6746789371309</v>
      </c>
      <c r="O43" s="3"/>
    </row>
    <row r="44" spans="2:15">
      <c r="B44" s="15" t="s">
        <v>36</v>
      </c>
      <c r="C44" s="42" t="s">
        <v>1</v>
      </c>
      <c r="D44" s="17">
        <v>103731.35068903439</v>
      </c>
      <c r="E44" s="17">
        <v>68704.295773062797</v>
      </c>
      <c r="F44" s="16">
        <v>58369.579942572731</v>
      </c>
      <c r="G44" s="17">
        <v>87587.935358059156</v>
      </c>
      <c r="H44" s="17">
        <v>12639.498139795116</v>
      </c>
      <c r="I44" s="17">
        <v>0</v>
      </c>
      <c r="J44" s="17">
        <v>79.829790645204554</v>
      </c>
      <c r="K44" s="17">
        <v>0</v>
      </c>
      <c r="L44" s="18">
        <v>0</v>
      </c>
      <c r="O44" s="3"/>
    </row>
    <row r="45" spans="2:15">
      <c r="B45" s="15" t="s">
        <v>37</v>
      </c>
      <c r="C45" s="42" t="s">
        <v>52</v>
      </c>
      <c r="D45" s="17">
        <v>58053.397839747879</v>
      </c>
      <c r="E45" s="17">
        <v>102230.16317755396</v>
      </c>
      <c r="F45" s="16">
        <v>200244.30831846475</v>
      </c>
      <c r="G45" s="17">
        <v>294483.15217743552</v>
      </c>
      <c r="H45" s="17">
        <v>219247.48347819285</v>
      </c>
      <c r="I45" s="17">
        <v>117457.91409882564</v>
      </c>
      <c r="J45" s="17">
        <v>128921.77683976966</v>
      </c>
      <c r="K45" s="17">
        <v>3457298.8921475988</v>
      </c>
      <c r="L45" s="18">
        <v>1760544.8403521797</v>
      </c>
      <c r="O45" s="3"/>
    </row>
    <row r="46" spans="2:15">
      <c r="B46" s="15" t="s">
        <v>38</v>
      </c>
      <c r="C46" s="42" t="s">
        <v>47</v>
      </c>
      <c r="D46" s="17">
        <v>25364.021044574918</v>
      </c>
      <c r="E46" s="17">
        <v>17395.053191493018</v>
      </c>
      <c r="F46" s="16">
        <v>11539.945394464179</v>
      </c>
      <c r="G46" s="16">
        <v>27870.75290337528</v>
      </c>
      <c r="H46" s="16">
        <v>9883.9482633605076</v>
      </c>
      <c r="I46" s="16">
        <v>6088.1183817591727</v>
      </c>
      <c r="J46" s="16">
        <v>9155.0227171881761</v>
      </c>
      <c r="K46" s="16">
        <v>13197.897690247955</v>
      </c>
      <c r="L46" s="18">
        <v>11729.010891393556</v>
      </c>
      <c r="O46" s="3"/>
    </row>
    <row r="47" spans="2:15">
      <c r="B47" s="15" t="s">
        <v>39</v>
      </c>
      <c r="C47" s="42" t="s">
        <v>53</v>
      </c>
      <c r="D47" s="17">
        <v>52121.361149087912</v>
      </c>
      <c r="E47" s="17">
        <v>33535.114738126322</v>
      </c>
      <c r="F47" s="16">
        <v>15228.065241250171</v>
      </c>
      <c r="G47" s="16">
        <v>9258.6399205146772</v>
      </c>
      <c r="H47" s="16">
        <v>16942.223096318914</v>
      </c>
      <c r="I47" s="16">
        <v>16312.523889734755</v>
      </c>
      <c r="J47" s="16">
        <v>6315.0260998728081</v>
      </c>
      <c r="K47" s="16">
        <v>6266.2053774513624</v>
      </c>
      <c r="L47" s="18">
        <v>10196.160753905369</v>
      </c>
      <c r="O47" s="3"/>
    </row>
    <row r="48" spans="2:15" ht="15" thickBot="1">
      <c r="B48" s="33" t="s">
        <v>40</v>
      </c>
      <c r="C48" s="45"/>
      <c r="D48" s="34">
        <f>'2.1.1. Ingresos Serv.'!C48/'6.1.IPM'!D15</f>
        <v>1995574.9518731958</v>
      </c>
      <c r="E48" s="34">
        <f>'2.1.1. Ingresos Serv.'!D48/'6.1.IPM'!E15</f>
        <v>672149.33614547621</v>
      </c>
      <c r="F48" s="34">
        <f>'2.1.1. Ingresos Serv.'!E48/'6.1.IPM'!F15</f>
        <v>2779779.4334043623</v>
      </c>
      <c r="G48" s="34">
        <f>'2.1.1. Ingresos Serv.'!F48/'6.1.IPM'!G15</f>
        <v>995811.73476079735</v>
      </c>
      <c r="H48" s="34">
        <f>'2.1.1. Ingresos Serv.'!G48/'6.1.IPM'!H15</f>
        <v>1230175.8149795146</v>
      </c>
      <c r="I48" s="34">
        <f>'2.1.1. Ingresos Serv.'!H48/'6.1.IPM'!I15</f>
        <v>700308.87760171026</v>
      </c>
      <c r="J48" s="34">
        <f>'2.1.1. Ingresos Serv.'!I48/'6.1.IPM'!J15</f>
        <v>1118378.3751786561</v>
      </c>
      <c r="K48" s="34">
        <f>'2.1.1. Ingresos Serv.'!J48/'6.1.IPM'!K15</f>
        <v>3915326.4726909776</v>
      </c>
      <c r="L48" s="34">
        <f>'2.1.1. Ingresos Serv.'!K48/'6.1.IPM'!L15</f>
        <v>3334364.1650764621</v>
      </c>
      <c r="O48" s="3"/>
    </row>
    <row r="51" spans="3:3">
      <c r="C51" s="373"/>
    </row>
    <row r="52" spans="3:3">
      <c r="C52" s="373"/>
    </row>
    <row r="53" spans="3:3">
      <c r="C53" s="373"/>
    </row>
    <row r="54" spans="3:3">
      <c r="C54" s="11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83879-2846-4BF7-84D3-F3E15F5C7A09}">
  <sheetPr>
    <tabColor theme="9" tint="-0.249977111117893"/>
  </sheetPr>
  <dimension ref="B4:N48"/>
  <sheetViews>
    <sheetView showGridLines="0" zoomScale="90" zoomScaleNormal="90" workbookViewId="0">
      <selection activeCell="B19" sqref="B19"/>
    </sheetView>
  </sheetViews>
  <sheetFormatPr baseColWidth="10" defaultColWidth="9.1796875" defaultRowHeight="14.5"/>
  <cols>
    <col min="1" max="1" width="9.1796875" style="3"/>
    <col min="2" max="2" width="62" style="3" bestFit="1" customWidth="1"/>
    <col min="3" max="3" width="17.54296875" style="39" bestFit="1" customWidth="1"/>
    <col min="4" max="11" width="10.1796875" style="3" bestFit="1" customWidth="1"/>
    <col min="12" max="13" width="11.26953125" style="3" bestFit="1" customWidth="1"/>
    <col min="14" max="14" width="9.1796875" style="1"/>
    <col min="15" max="16384" width="9.1796875" style="3"/>
  </cols>
  <sheetData>
    <row r="4" spans="2:14">
      <c r="B4" s="2" t="s">
        <v>216</v>
      </c>
      <c r="C4" s="37"/>
      <c r="N4" s="3"/>
    </row>
    <row r="5" spans="2:14">
      <c r="B5" s="4"/>
      <c r="C5" s="38"/>
      <c r="N5" s="3"/>
    </row>
    <row r="6" spans="2:14" ht="15" thickBot="1">
      <c r="N6" s="3"/>
    </row>
    <row r="7" spans="2:14">
      <c r="B7" s="82" t="s">
        <v>0</v>
      </c>
      <c r="C7" s="123" t="s">
        <v>1</v>
      </c>
      <c r="D7" s="83">
        <v>2015</v>
      </c>
      <c r="E7" s="83">
        <v>2016</v>
      </c>
      <c r="F7" s="83">
        <v>2017</v>
      </c>
      <c r="G7" s="83">
        <v>2018</v>
      </c>
      <c r="H7" s="83">
        <v>2019</v>
      </c>
      <c r="I7" s="83">
        <v>2020</v>
      </c>
      <c r="J7" s="83">
        <v>2021</v>
      </c>
      <c r="K7" s="83">
        <v>2022</v>
      </c>
      <c r="L7" s="84">
        <v>2023</v>
      </c>
      <c r="N7" s="3"/>
    </row>
    <row r="8" spans="2:14">
      <c r="B8" s="6" t="s">
        <v>2</v>
      </c>
      <c r="C8" s="40"/>
      <c r="D8" s="7"/>
      <c r="E8" s="7"/>
      <c r="F8" s="7"/>
      <c r="G8" s="7"/>
      <c r="H8" s="7"/>
      <c r="I8" s="8"/>
      <c r="J8" s="8"/>
      <c r="K8" s="8"/>
      <c r="L8" s="9"/>
      <c r="N8" s="3"/>
    </row>
    <row r="9" spans="2:14">
      <c r="B9" s="10" t="s">
        <v>3</v>
      </c>
      <c r="C9" s="41"/>
      <c r="D9" s="12"/>
      <c r="E9" s="11"/>
      <c r="F9" s="11"/>
      <c r="G9" s="11"/>
      <c r="H9" s="11"/>
      <c r="I9" s="13"/>
      <c r="J9" s="13"/>
      <c r="K9" s="13"/>
      <c r="L9" s="14"/>
      <c r="N9" s="3"/>
    </row>
    <row r="10" spans="2:14">
      <c r="B10" s="15" t="s">
        <v>4</v>
      </c>
      <c r="C10" s="42" t="s">
        <v>44</v>
      </c>
      <c r="D10" s="304">
        <f>IFERROR('2.1.1. Ingresos Serv.'!C10/'2.1.2. Cantidades Serv.'!D10,"")</f>
        <v>0.48519297526993788</v>
      </c>
      <c r="E10" s="304">
        <f>IFERROR('2.1.1. Ingresos Serv.'!D10/'2.1.2. Cantidades Serv.'!E10,"")</f>
        <v>0.53893514932950615</v>
      </c>
      <c r="F10" s="304">
        <f>IFERROR('2.1.1. Ingresos Serv.'!E10/'2.1.2. Cantidades Serv.'!F10,"")</f>
        <v>0.54467750240985269</v>
      </c>
      <c r="G10" s="304">
        <f>IFERROR('2.1.1. Ingresos Serv.'!F10/'2.1.2. Cantidades Serv.'!G10,"")</f>
        <v>0.55224585012532579</v>
      </c>
      <c r="H10" s="304">
        <f>IFERROR('2.1.1. Ingresos Serv.'!G10/'2.1.2. Cantidades Serv.'!H10,"")</f>
        <v>0.57331537690370105</v>
      </c>
      <c r="I10" s="304">
        <f>IFERROR('2.1.1. Ingresos Serv.'!H10/'2.1.2. Cantidades Serv.'!I10,"")</f>
        <v>0.57842468654351065</v>
      </c>
      <c r="J10" s="304">
        <f>IFERROR('2.1.1. Ingresos Serv.'!I10/'2.1.2. Cantidades Serv.'!J10,"")</f>
        <v>0.59497684852058752</v>
      </c>
      <c r="K10" s="304">
        <f>IFERROR('2.1.1. Ingresos Serv.'!J10/'2.1.2. Cantidades Serv.'!K10,"")</f>
        <v>0.63812340535022261</v>
      </c>
      <c r="L10" s="305">
        <f>IFERROR('2.1.1. Ingresos Serv.'!K10/'2.1.2. Cantidades Serv.'!L10,"")</f>
        <v>0.67714802318880885</v>
      </c>
      <c r="N10" s="3"/>
    </row>
    <row r="11" spans="2:14">
      <c r="B11" s="15" t="s">
        <v>5</v>
      </c>
      <c r="C11" s="42" t="s">
        <v>45</v>
      </c>
      <c r="D11" s="304">
        <f>IFERROR('2.1.1. Ingresos Serv.'!C11/'2.1.2. Cantidades Serv.'!D11,"")</f>
        <v>6.0030930265270017</v>
      </c>
      <c r="E11" s="304">
        <f>IFERROR('2.1.1. Ingresos Serv.'!D11/'2.1.2. Cantidades Serv.'!E11,"")</f>
        <v>6.0301098568748204</v>
      </c>
      <c r="F11" s="304">
        <f>IFERROR('2.1.1. Ingresos Serv.'!E11/'2.1.2. Cantidades Serv.'!F11,"")</f>
        <v>6.1121006991144871</v>
      </c>
      <c r="G11" s="304">
        <f>IFERROR('2.1.1. Ingresos Serv.'!F11/'2.1.2. Cantidades Serv.'!G11,"")</f>
        <v>6.2258650543252347</v>
      </c>
      <c r="H11" s="304">
        <f>IFERROR('2.1.1. Ingresos Serv.'!G11/'2.1.2. Cantidades Serv.'!H11,"")</f>
        <v>6.3493590801601609</v>
      </c>
      <c r="I11" s="304">
        <f>IFERROR('2.1.1. Ingresos Serv.'!H11/'2.1.2. Cantidades Serv.'!I11,"")</f>
        <v>6.3541495319791199</v>
      </c>
      <c r="J11" s="304" t="str">
        <f>IFERROR('2.1.1. Ingresos Serv.'!I11/'2.1.2. Cantidades Serv.'!J11,"")</f>
        <v/>
      </c>
      <c r="K11" s="304">
        <f>IFERROR('2.1.1. Ingresos Serv.'!J11/'2.1.2. Cantidades Serv.'!K11,"")</f>
        <v>7.5188456213605654</v>
      </c>
      <c r="L11" s="305">
        <f>IFERROR('2.1.1. Ingresos Serv.'!K11/'2.1.2. Cantidades Serv.'!L11,"")</f>
        <v>7.6467711426462337</v>
      </c>
      <c r="N11" s="3"/>
    </row>
    <row r="12" spans="2:14">
      <c r="B12" s="19" t="s">
        <v>12</v>
      </c>
      <c r="C12" s="43"/>
      <c r="D12" s="21"/>
      <c r="E12" s="21"/>
      <c r="F12" s="20"/>
      <c r="G12" s="20"/>
      <c r="H12" s="20"/>
      <c r="I12" s="20"/>
      <c r="J12" s="20"/>
      <c r="K12" s="20"/>
      <c r="L12" s="14"/>
      <c r="N12" s="3"/>
    </row>
    <row r="13" spans="2:14">
      <c r="B13" s="15" t="s">
        <v>6</v>
      </c>
      <c r="C13" s="42" t="s">
        <v>46</v>
      </c>
      <c r="D13" s="304" t="str">
        <f>IFERROR('2.1.1. Ingresos Serv.'!C13/'2.1.2. Cantidades Serv.'!D13,"")</f>
        <v/>
      </c>
      <c r="E13" s="304">
        <f>IFERROR('2.1.1. Ingresos Serv.'!D13/'2.1.2. Cantidades Serv.'!E13,"")</f>
        <v>106.90922949367183</v>
      </c>
      <c r="F13" s="304">
        <f>IFERROR('2.1.1. Ingresos Serv.'!E13/'2.1.2. Cantidades Serv.'!F13,"")</f>
        <v>123.97857007267793</v>
      </c>
      <c r="G13" s="304">
        <f>IFERROR('2.1.1. Ingresos Serv.'!F13/'2.1.2. Cantidades Serv.'!G13,"")</f>
        <v>112.99413939568748</v>
      </c>
      <c r="H13" s="304">
        <f>IFERROR('2.1.1. Ingresos Serv.'!G13/'2.1.2. Cantidades Serv.'!H13,"")</f>
        <v>111.07708397062625</v>
      </c>
      <c r="I13" s="304">
        <f>IFERROR('2.1.1. Ingresos Serv.'!H13/'2.1.2. Cantidades Serv.'!I13,"")</f>
        <v>112.64250700102684</v>
      </c>
      <c r="J13" s="304">
        <f>IFERROR('2.1.1. Ingresos Serv.'!I13/'2.1.2. Cantidades Serv.'!J13,"")</f>
        <v>116.98779986781581</v>
      </c>
      <c r="K13" s="304">
        <f>IFERROR('2.1.1. Ingresos Serv.'!J13/'2.1.2. Cantidades Serv.'!K13,"")</f>
        <v>123.62195657165985</v>
      </c>
      <c r="L13" s="305">
        <f>IFERROR('2.1.1. Ingresos Serv.'!K13/'2.1.2. Cantidades Serv.'!L13,"")</f>
        <v>135.67219571542503</v>
      </c>
      <c r="N13" s="3"/>
    </row>
    <row r="14" spans="2:14">
      <c r="B14" s="15" t="s">
        <v>7</v>
      </c>
      <c r="C14" s="42" t="s">
        <v>46</v>
      </c>
      <c r="D14" s="304">
        <f>IFERROR('2.1.1. Ingresos Serv.'!C14/'2.1.2. Cantidades Serv.'!D14,"")</f>
        <v>140.42295463732975</v>
      </c>
      <c r="E14" s="304">
        <f>IFERROR('2.1.1. Ingresos Serv.'!D14/'2.1.2. Cantidades Serv.'!E14,"")</f>
        <v>118.6938808904174</v>
      </c>
      <c r="F14" s="304">
        <f>IFERROR('2.1.1. Ingresos Serv.'!E14/'2.1.2. Cantidades Serv.'!F14,"")</f>
        <v>123.2556704212313</v>
      </c>
      <c r="G14" s="304">
        <f>IFERROR('2.1.1. Ingresos Serv.'!F14/'2.1.2. Cantidades Serv.'!G14,"")</f>
        <v>129.03636363636363</v>
      </c>
      <c r="H14" s="304">
        <f>IFERROR('2.1.1. Ingresos Serv.'!G14/'2.1.2. Cantidades Serv.'!H14,"")</f>
        <v>128.47436310939716</v>
      </c>
      <c r="I14" s="304">
        <f>IFERROR('2.1.1. Ingresos Serv.'!H14/'2.1.2. Cantidades Serv.'!I14,"")</f>
        <v>124.52154393938459</v>
      </c>
      <c r="J14" s="304">
        <f>IFERROR('2.1.1. Ingresos Serv.'!I14/'2.1.2. Cantidades Serv.'!J14,"")</f>
        <v>118.10775883155186</v>
      </c>
      <c r="K14" s="304">
        <f>IFERROR('2.1.1. Ingresos Serv.'!J14/'2.1.2. Cantidades Serv.'!K14,"")</f>
        <v>129.30208577967022</v>
      </c>
      <c r="L14" s="305">
        <f>IFERROR('2.1.1. Ingresos Serv.'!K14/'2.1.2. Cantidades Serv.'!L14,"")</f>
        <v>163.62623584537465</v>
      </c>
      <c r="N14" s="3"/>
    </row>
    <row r="15" spans="2:14">
      <c r="B15" s="15" t="s">
        <v>8</v>
      </c>
      <c r="C15" s="42" t="s">
        <v>46</v>
      </c>
      <c r="D15" s="304" t="str">
        <f>IFERROR('2.1.1. Ingresos Serv.'!C15/'2.1.2. Cantidades Serv.'!D15,"")</f>
        <v/>
      </c>
      <c r="E15" s="304" t="str">
        <f>IFERROR('2.1.1. Ingresos Serv.'!D15/'2.1.2. Cantidades Serv.'!E15,"")</f>
        <v/>
      </c>
      <c r="F15" s="304">
        <f>IFERROR('2.1.1. Ingresos Serv.'!E15/'2.1.2. Cantidades Serv.'!F15,"")</f>
        <v>35.048596920145933</v>
      </c>
      <c r="G15" s="304">
        <f>IFERROR('2.1.1. Ingresos Serv.'!F15/'2.1.2. Cantidades Serv.'!G15,"")</f>
        <v>79.962680765044311</v>
      </c>
      <c r="H15" s="304">
        <f>IFERROR('2.1.1. Ingresos Serv.'!G15/'2.1.2. Cantidades Serv.'!H15,"")</f>
        <v>22.807002636159179</v>
      </c>
      <c r="I15" s="304">
        <f>IFERROR('2.1.1. Ingresos Serv.'!H15/'2.1.2. Cantidades Serv.'!I15,"")</f>
        <v>46.910037096652623</v>
      </c>
      <c r="J15" s="304">
        <f>IFERROR('2.1.1. Ingresos Serv.'!I15/'2.1.2. Cantidades Serv.'!J15,"")</f>
        <v>46.249204904470332</v>
      </c>
      <c r="K15" s="304" t="str">
        <f>IFERROR('2.1.1. Ingresos Serv.'!J15/'2.1.2. Cantidades Serv.'!K15,"")</f>
        <v/>
      </c>
      <c r="L15" s="305" t="str">
        <f>IFERROR('2.1.1. Ingresos Serv.'!K15/'2.1.2. Cantidades Serv.'!L15,"")</f>
        <v/>
      </c>
      <c r="N15" s="3"/>
    </row>
    <row r="16" spans="2:14">
      <c r="B16" s="15" t="s">
        <v>9</v>
      </c>
      <c r="C16" s="42" t="s">
        <v>46</v>
      </c>
      <c r="D16" s="304">
        <f>IFERROR('2.1.1. Ingresos Serv.'!C16/'2.1.2. Cantidades Serv.'!D16,"")</f>
        <v>77.849958430588444</v>
      </c>
      <c r="E16" s="304" t="str">
        <f>IFERROR('2.1.1. Ingresos Serv.'!D16/'2.1.2. Cantidades Serv.'!E16,"")</f>
        <v/>
      </c>
      <c r="F16" s="304">
        <f>IFERROR('2.1.1. Ingresos Serv.'!E16/'2.1.2. Cantidades Serv.'!F16,"")</f>
        <v>48.459680368996771</v>
      </c>
      <c r="G16" s="304" t="str">
        <f>IFERROR('2.1.1. Ingresos Serv.'!F16/'2.1.2. Cantidades Serv.'!G16,"")</f>
        <v/>
      </c>
      <c r="H16" s="304">
        <f>IFERROR('2.1.1. Ingresos Serv.'!G16/'2.1.2. Cantidades Serv.'!H16,"")</f>
        <v>26.265870288430154</v>
      </c>
      <c r="I16" s="304">
        <f>IFERROR('2.1.1. Ingresos Serv.'!H16/'2.1.2. Cantidades Serv.'!I16,"")</f>
        <v>54.384964405555387</v>
      </c>
      <c r="J16" s="304">
        <f>IFERROR('2.1.1. Ingresos Serv.'!I16/'2.1.2. Cantidades Serv.'!J16,"")</f>
        <v>54.434373991120552</v>
      </c>
      <c r="K16" s="304">
        <f>IFERROR('2.1.1. Ingresos Serv.'!J16/'2.1.2. Cantidades Serv.'!K16,"")</f>
        <v>66.466129170860185</v>
      </c>
      <c r="L16" s="305">
        <f>IFERROR('2.1.1. Ingresos Serv.'!K16/'2.1.2. Cantidades Serv.'!L16,"")</f>
        <v>63.292511687548284</v>
      </c>
      <c r="N16" s="3"/>
    </row>
    <row r="17" spans="2:14">
      <c r="B17" s="15" t="s">
        <v>10</v>
      </c>
      <c r="C17" s="42" t="s">
        <v>46</v>
      </c>
      <c r="D17" s="304" t="str">
        <f>IFERROR('2.1.1. Ingresos Serv.'!C17/'2.1.2. Cantidades Serv.'!D17,"")</f>
        <v/>
      </c>
      <c r="E17" s="304" t="str">
        <f>IFERROR('2.1.1. Ingresos Serv.'!D17/'2.1.2. Cantidades Serv.'!E17,"")</f>
        <v/>
      </c>
      <c r="F17" s="304" t="str">
        <f>IFERROR('2.1.1. Ingresos Serv.'!E17/'2.1.2. Cantidades Serv.'!F17,"")</f>
        <v/>
      </c>
      <c r="G17" s="304" t="str">
        <f>IFERROR('2.1.1. Ingresos Serv.'!F17/'2.1.2. Cantidades Serv.'!G17,"")</f>
        <v/>
      </c>
      <c r="H17" s="304" t="str">
        <f>IFERROR('2.1.1. Ingresos Serv.'!G17/'2.1.2. Cantidades Serv.'!H17,"")</f>
        <v/>
      </c>
      <c r="I17" s="304" t="str">
        <f>IFERROR('2.1.1. Ingresos Serv.'!H17/'2.1.2. Cantidades Serv.'!I17,"")</f>
        <v/>
      </c>
      <c r="J17" s="304" t="str">
        <f>IFERROR('2.1.1. Ingresos Serv.'!I17/'2.1.2. Cantidades Serv.'!J17,"")</f>
        <v/>
      </c>
      <c r="K17" s="304" t="str">
        <f>IFERROR('2.1.1. Ingresos Serv.'!J17/'2.1.2. Cantidades Serv.'!K17,"")</f>
        <v/>
      </c>
      <c r="L17" s="305" t="str">
        <f>IFERROR('2.1.1. Ingresos Serv.'!K17/'2.1.2. Cantidades Serv.'!L17,"")</f>
        <v/>
      </c>
      <c r="N17" s="3"/>
    </row>
    <row r="18" spans="2:14">
      <c r="B18" s="15" t="s">
        <v>11</v>
      </c>
      <c r="C18" s="42" t="s">
        <v>46</v>
      </c>
      <c r="D18" s="304" t="str">
        <f>IFERROR('2.1.1. Ingresos Serv.'!C18/'2.1.2. Cantidades Serv.'!D18,"")</f>
        <v/>
      </c>
      <c r="E18" s="304" t="str">
        <f>IFERROR('2.1.1. Ingresos Serv.'!D18/'2.1.2. Cantidades Serv.'!E18,"")</f>
        <v/>
      </c>
      <c r="F18" s="304" t="str">
        <f>IFERROR('2.1.1. Ingresos Serv.'!E18/'2.1.2. Cantidades Serv.'!F18,"")</f>
        <v/>
      </c>
      <c r="G18" s="304" t="str">
        <f>IFERROR('2.1.1. Ingresos Serv.'!F18/'2.1.2. Cantidades Serv.'!G18,"")</f>
        <v/>
      </c>
      <c r="H18" s="304" t="str">
        <f>IFERROR('2.1.1. Ingresos Serv.'!G18/'2.1.2. Cantidades Serv.'!H18,"")</f>
        <v/>
      </c>
      <c r="I18" s="304" t="str">
        <f>IFERROR('2.1.1. Ingresos Serv.'!H18/'2.1.2. Cantidades Serv.'!I18,"")</f>
        <v/>
      </c>
      <c r="J18" s="304" t="str">
        <f>IFERROR('2.1.1. Ingresos Serv.'!I18/'2.1.2. Cantidades Serv.'!J18,"")</f>
        <v/>
      </c>
      <c r="K18" s="304" t="str">
        <f>IFERROR('2.1.1. Ingresos Serv.'!J18/'2.1.2. Cantidades Serv.'!K18,"")</f>
        <v/>
      </c>
      <c r="L18" s="305" t="str">
        <f>IFERROR('2.1.1. Ingresos Serv.'!K18/'2.1.2. Cantidades Serv.'!L18,"")</f>
        <v/>
      </c>
      <c r="N18" s="3"/>
    </row>
    <row r="19" spans="2:14">
      <c r="B19" s="19" t="s">
        <v>411</v>
      </c>
      <c r="C19" s="42"/>
      <c r="D19" s="304"/>
      <c r="E19" s="304"/>
      <c r="F19" s="304"/>
      <c r="G19" s="304"/>
      <c r="H19" s="304"/>
      <c r="I19" s="304"/>
      <c r="J19" s="304"/>
      <c r="K19" s="304"/>
      <c r="L19" s="305"/>
      <c r="N19" s="3"/>
    </row>
    <row r="20" spans="2:14">
      <c r="B20" s="15" t="s">
        <v>13</v>
      </c>
      <c r="C20" s="42" t="s">
        <v>47</v>
      </c>
      <c r="D20" s="304">
        <f>IFERROR('2.1.1. Ingresos Serv.'!C20/'2.1.2. Cantidades Serv.'!D20,"")</f>
        <v>4.7239341585582419</v>
      </c>
      <c r="E20" s="304">
        <f>IFERROR('2.1.1. Ingresos Serv.'!D20/'2.1.2. Cantidades Serv.'!E20,"")</f>
        <v>4.9161950902568421</v>
      </c>
      <c r="F20" s="304">
        <f>IFERROR('2.1.1. Ingresos Serv.'!E20/'2.1.2. Cantidades Serv.'!F20,"")</f>
        <v>4.958407332994458</v>
      </c>
      <c r="G20" s="304">
        <f>IFERROR('2.1.1. Ingresos Serv.'!F20/'2.1.2. Cantidades Serv.'!G20,"")</f>
        <v>5.0268557386223254</v>
      </c>
      <c r="H20" s="304">
        <f>IFERROR('2.1.1. Ingresos Serv.'!G20/'2.1.2. Cantidades Serv.'!H20,"")</f>
        <v>5.1414856040935177</v>
      </c>
      <c r="I20" s="304">
        <f>IFERROR('2.1.1. Ingresos Serv.'!H20/'2.1.2. Cantidades Serv.'!I20,"")</f>
        <v>5.2715778830222444</v>
      </c>
      <c r="J20" s="304">
        <f>IFERROR('2.1.1. Ingresos Serv.'!I20/'2.1.2. Cantidades Serv.'!J20,"")</f>
        <v>4.8328184183307066</v>
      </c>
      <c r="K20" s="304">
        <f>IFERROR('2.1.1. Ingresos Serv.'!J20/'2.1.2. Cantidades Serv.'!K20,"")</f>
        <v>6.4806002544273502</v>
      </c>
      <c r="L20" s="305">
        <f>IFERROR('2.1.1. Ingresos Serv.'!K20/'2.1.2. Cantidades Serv.'!L20,"")</f>
        <v>7.0767054624627734</v>
      </c>
      <c r="N20" s="3"/>
    </row>
    <row r="21" spans="2:14">
      <c r="B21" s="15" t="s">
        <v>14</v>
      </c>
      <c r="C21" s="42" t="s">
        <v>47</v>
      </c>
      <c r="D21" s="304">
        <f>IFERROR('2.1.1. Ingresos Serv.'!C21/'2.1.2. Cantidades Serv.'!D21,"")</f>
        <v>10.067749929708096</v>
      </c>
      <c r="E21" s="304">
        <f>IFERROR('2.1.1. Ingresos Serv.'!D21/'2.1.2. Cantidades Serv.'!E21,"")</f>
        <v>9.8904128334335208</v>
      </c>
      <c r="F21" s="304">
        <f>IFERROR('2.1.1. Ingresos Serv.'!E21/'2.1.2. Cantidades Serv.'!F21,"")</f>
        <v>9.953237855389947</v>
      </c>
      <c r="G21" s="304">
        <f>IFERROR('2.1.1. Ingresos Serv.'!F21/'2.1.2. Cantidades Serv.'!G21,"")</f>
        <v>10.097112424725642</v>
      </c>
      <c r="H21" s="304">
        <f>IFERROR('2.1.1. Ingresos Serv.'!G21/'2.1.2. Cantidades Serv.'!H21,"")</f>
        <v>10.401388713644984</v>
      </c>
      <c r="I21" s="304">
        <f>IFERROR('2.1.1. Ingresos Serv.'!H21/'2.1.2. Cantidades Serv.'!I21,"")</f>
        <v>10.370697865649039</v>
      </c>
      <c r="J21" s="304">
        <f>IFERROR('2.1.1. Ingresos Serv.'!I21/'2.1.2. Cantidades Serv.'!J21,"")</f>
        <v>10.425060692062935</v>
      </c>
      <c r="K21" s="304">
        <f>IFERROR('2.1.1. Ingresos Serv.'!J21/'2.1.2. Cantidades Serv.'!K21,"")</f>
        <v>11.473570083731444</v>
      </c>
      <c r="L21" s="305">
        <f>IFERROR('2.1.1. Ingresos Serv.'!K21/'2.1.2. Cantidades Serv.'!L21,"")</f>
        <v>12.270258403018461</v>
      </c>
      <c r="N21" s="3"/>
    </row>
    <row r="22" spans="2:14">
      <c r="B22" s="22" t="s">
        <v>15</v>
      </c>
      <c r="C22" s="44" t="s">
        <v>47</v>
      </c>
      <c r="D22" s="304">
        <f>IFERROR('2.1.1. Ingresos Serv.'!C22/'2.1.2. Cantidades Serv.'!D22,"")</f>
        <v>21.084773853326848</v>
      </c>
      <c r="E22" s="304" t="str">
        <f>IFERROR('2.1.1. Ingresos Serv.'!D22/'2.1.2. Cantidades Serv.'!E22,"")</f>
        <v/>
      </c>
      <c r="F22" s="304" t="str">
        <f>IFERROR('2.1.1. Ingresos Serv.'!E22/'2.1.2. Cantidades Serv.'!F22,"")</f>
        <v/>
      </c>
      <c r="G22" s="304" t="str">
        <f>IFERROR('2.1.1. Ingresos Serv.'!F22/'2.1.2. Cantidades Serv.'!G22,"")</f>
        <v/>
      </c>
      <c r="H22" s="304" t="str">
        <f>IFERROR('2.1.1. Ingresos Serv.'!G22/'2.1.2. Cantidades Serv.'!H22,"")</f>
        <v/>
      </c>
      <c r="I22" s="304" t="str">
        <f>IFERROR('2.1.1. Ingresos Serv.'!H22/'2.1.2. Cantidades Serv.'!I22,"")</f>
        <v/>
      </c>
      <c r="J22" s="304">
        <f>IFERROR('2.1.1. Ingresos Serv.'!I22/'2.1.2. Cantidades Serv.'!J22,"")</f>
        <v>23.027598745715377</v>
      </c>
      <c r="K22" s="304">
        <f>IFERROR('2.1.1. Ingresos Serv.'!J22/'2.1.2. Cantidades Serv.'!K22,"")</f>
        <v>26.809984336316312</v>
      </c>
      <c r="L22" s="305">
        <f>IFERROR('2.1.1. Ingresos Serv.'!K22/'2.1.2. Cantidades Serv.'!L22,"")</f>
        <v>26.744609846034372</v>
      </c>
      <c r="N22" s="3"/>
    </row>
    <row r="23" spans="2:14">
      <c r="B23" s="22" t="s">
        <v>16</v>
      </c>
      <c r="C23" s="44" t="s">
        <v>47</v>
      </c>
      <c r="D23" s="304">
        <f>IFERROR('2.1.1. Ingresos Serv.'!C23/'2.1.2. Cantidades Serv.'!D23,"")</f>
        <v>1.0018693862181922</v>
      </c>
      <c r="E23" s="304">
        <f>IFERROR('2.1.1. Ingresos Serv.'!D23/'2.1.2. Cantidades Serv.'!E23,"")</f>
        <v>1.0080796043289662</v>
      </c>
      <c r="F23" s="304">
        <f>IFERROR('2.1.1. Ingresos Serv.'!E23/'2.1.2. Cantidades Serv.'!F23,"")</f>
        <v>1.0239899171391755</v>
      </c>
      <c r="G23" s="304">
        <f>IFERROR('2.1.1. Ingresos Serv.'!F23/'2.1.2. Cantidades Serv.'!G23,"")</f>
        <v>1.0417047623219271</v>
      </c>
      <c r="H23" s="304" t="str">
        <f>IFERROR('2.1.1. Ingresos Serv.'!G23/'2.1.2. Cantidades Serv.'!H23,"")</f>
        <v/>
      </c>
      <c r="I23" s="304" t="str">
        <f>IFERROR('2.1.1. Ingresos Serv.'!H23/'2.1.2. Cantidades Serv.'!I23,"")</f>
        <v/>
      </c>
      <c r="J23" s="304" t="str">
        <f>IFERROR('2.1.1. Ingresos Serv.'!I23/'2.1.2. Cantidades Serv.'!J23,"")</f>
        <v/>
      </c>
      <c r="K23" s="304" t="str">
        <f>IFERROR('2.1.1. Ingresos Serv.'!J23/'2.1.2. Cantidades Serv.'!K23,"")</f>
        <v/>
      </c>
      <c r="L23" s="305" t="str">
        <f>IFERROR('2.1.1. Ingresos Serv.'!K23/'2.1.2. Cantidades Serv.'!L23,"")</f>
        <v/>
      </c>
      <c r="N23" s="3"/>
    </row>
    <row r="24" spans="2:14">
      <c r="B24" s="6" t="s">
        <v>17</v>
      </c>
      <c r="C24" s="40"/>
      <c r="D24" s="24"/>
      <c r="E24" s="23"/>
      <c r="F24" s="23"/>
      <c r="G24" s="23"/>
      <c r="H24" s="25"/>
      <c r="I24" s="26"/>
      <c r="J24" s="26"/>
      <c r="K24" s="26"/>
      <c r="L24" s="27"/>
      <c r="N24" s="3"/>
    </row>
    <row r="25" spans="2:14">
      <c r="B25" s="28" t="s">
        <v>18</v>
      </c>
      <c r="C25" s="43"/>
      <c r="D25" s="29"/>
      <c r="E25" s="20"/>
      <c r="F25" s="20"/>
      <c r="G25" s="20"/>
      <c r="H25" s="11"/>
      <c r="I25" s="13"/>
      <c r="J25" s="13"/>
      <c r="K25" s="13"/>
      <c r="L25" s="14"/>
      <c r="N25" s="3"/>
    </row>
    <row r="26" spans="2:14">
      <c r="B26" s="15" t="s">
        <v>19</v>
      </c>
      <c r="C26" s="42" t="s">
        <v>48</v>
      </c>
      <c r="D26" s="304" t="str">
        <f>IFERROR('2.1.1. Ingresos Serv.'!C26/'2.1.2. Cantidades Serv.'!D26,"")</f>
        <v/>
      </c>
      <c r="E26" s="304">
        <f>IFERROR('2.1.1. Ingresos Serv.'!D26/'2.1.2. Cantidades Serv.'!E26,"")</f>
        <v>173.20770339283689</v>
      </c>
      <c r="F26" s="304">
        <f>IFERROR('2.1.1. Ingresos Serv.'!E26/'2.1.2. Cantidades Serv.'!F26,"")</f>
        <v>144.23118873854722</v>
      </c>
      <c r="G26" s="304">
        <f>IFERROR('2.1.1. Ingresos Serv.'!F26/'2.1.2. Cantidades Serv.'!G26,"")</f>
        <v>146.48701855797387</v>
      </c>
      <c r="H26" s="304">
        <f>IFERROR('2.1.1. Ingresos Serv.'!G26/'2.1.2. Cantidades Serv.'!H26,"")</f>
        <v>209.05401229498403</v>
      </c>
      <c r="I26" s="304">
        <f>IFERROR('2.1.1. Ingresos Serv.'!H26/'2.1.2. Cantidades Serv.'!I26,"")</f>
        <v>207.58079142736821</v>
      </c>
      <c r="J26" s="304">
        <f>IFERROR('2.1.1. Ingresos Serv.'!I26/'2.1.2. Cantidades Serv.'!J26,"")</f>
        <v>218.57544690319756</v>
      </c>
      <c r="K26" s="304">
        <f>IFERROR('2.1.1. Ingresos Serv.'!J26/'2.1.2. Cantidades Serv.'!K26,"")</f>
        <v>241.02870474149503</v>
      </c>
      <c r="L26" s="305">
        <f>IFERROR('2.1.1. Ingresos Serv.'!K26/'2.1.2. Cantidades Serv.'!L26,"")</f>
        <v>257.0584563062277</v>
      </c>
      <c r="N26" s="3"/>
    </row>
    <row r="27" spans="2:14">
      <c r="B27" s="15" t="s">
        <v>20</v>
      </c>
      <c r="C27" s="42" t="s">
        <v>48</v>
      </c>
      <c r="D27" s="304" t="str">
        <f>IFERROR('2.1.1. Ingresos Serv.'!C27/'2.1.2. Cantidades Serv.'!D27,"")</f>
        <v/>
      </c>
      <c r="E27" s="304" t="str">
        <f>IFERROR('2.1.1. Ingresos Serv.'!D27/'2.1.2. Cantidades Serv.'!E27,"")</f>
        <v/>
      </c>
      <c r="F27" s="304" t="str">
        <f>IFERROR('2.1.1. Ingresos Serv.'!E27/'2.1.2. Cantidades Serv.'!F27,"")</f>
        <v/>
      </c>
      <c r="G27" s="304" t="str">
        <f>IFERROR('2.1.1. Ingresos Serv.'!F27/'2.1.2. Cantidades Serv.'!G27,"")</f>
        <v/>
      </c>
      <c r="H27" s="304" t="str">
        <f>IFERROR('2.1.1. Ingresos Serv.'!G27/'2.1.2. Cantidades Serv.'!H27,"")</f>
        <v/>
      </c>
      <c r="I27" s="304" t="str">
        <f>IFERROR('2.1.1. Ingresos Serv.'!H27/'2.1.2. Cantidades Serv.'!I27,"")</f>
        <v/>
      </c>
      <c r="J27" s="304" t="str">
        <f>IFERROR('2.1.1. Ingresos Serv.'!I27/'2.1.2. Cantidades Serv.'!J27,"")</f>
        <v/>
      </c>
      <c r="K27" s="304" t="str">
        <f>IFERROR('2.1.1. Ingresos Serv.'!J27/'2.1.2. Cantidades Serv.'!K27,"")</f>
        <v/>
      </c>
      <c r="L27" s="305" t="str">
        <f>IFERROR('2.1.1. Ingresos Serv.'!K27/'2.1.2. Cantidades Serv.'!L27,"")</f>
        <v/>
      </c>
      <c r="N27" s="3"/>
    </row>
    <row r="28" spans="2:14">
      <c r="B28" s="15" t="s">
        <v>21</v>
      </c>
      <c r="C28" s="42" t="s">
        <v>48</v>
      </c>
      <c r="D28" s="304" t="str">
        <f>IFERROR('2.1.1. Ingresos Serv.'!C28/'2.1.2. Cantidades Serv.'!D28,"")</f>
        <v/>
      </c>
      <c r="E28" s="304">
        <f>IFERROR('2.1.1. Ingresos Serv.'!D28/'2.1.2. Cantidades Serv.'!E28,"")</f>
        <v>160.4606229760069</v>
      </c>
      <c r="F28" s="304" t="str">
        <f>IFERROR('2.1.1. Ingresos Serv.'!E28/'2.1.2. Cantidades Serv.'!F28,"")</f>
        <v/>
      </c>
      <c r="G28" s="304">
        <f>IFERROR('2.1.1. Ingresos Serv.'!F28/'2.1.2. Cantidades Serv.'!G28,"")</f>
        <v>226.98180747259676</v>
      </c>
      <c r="H28" s="304" t="str">
        <f>IFERROR('2.1.1. Ingresos Serv.'!G28/'2.1.2. Cantidades Serv.'!H28,"")</f>
        <v/>
      </c>
      <c r="I28" s="304">
        <f>IFERROR('2.1.1. Ingresos Serv.'!H28/'2.1.2. Cantidades Serv.'!I28,"")</f>
        <v>208.25542893438259</v>
      </c>
      <c r="J28" s="304">
        <f>IFERROR('2.1.1. Ingresos Serv.'!I28/'2.1.2. Cantidades Serv.'!J28,"")</f>
        <v>122.96305897602073</v>
      </c>
      <c r="K28" s="304" t="str">
        <f>IFERROR('2.1.1. Ingresos Serv.'!J28/'2.1.2. Cantidades Serv.'!K28,"")</f>
        <v/>
      </c>
      <c r="L28" s="305">
        <f>IFERROR('2.1.1. Ingresos Serv.'!K28/'2.1.2. Cantidades Serv.'!L28,"")</f>
        <v>274.61890019667578</v>
      </c>
      <c r="N28" s="3"/>
    </row>
    <row r="29" spans="2:14">
      <c r="B29" s="15" t="s">
        <v>22</v>
      </c>
      <c r="C29" s="42" t="s">
        <v>48</v>
      </c>
      <c r="D29" s="304">
        <f>IFERROR('2.1.1. Ingresos Serv.'!C29/'2.1.2. Cantidades Serv.'!D29,"")</f>
        <v>310.00119997991533</v>
      </c>
      <c r="E29" s="304">
        <f>IFERROR('2.1.1. Ingresos Serv.'!D29/'2.1.2. Cantidades Serv.'!E29,"")</f>
        <v>179.93690356439978</v>
      </c>
      <c r="F29" s="304">
        <f>IFERROR('2.1.1. Ingresos Serv.'!E29/'2.1.2. Cantidades Serv.'!F29,"")</f>
        <v>477.29176789954818</v>
      </c>
      <c r="G29" s="304">
        <f>IFERROR('2.1.1. Ingresos Serv.'!F29/'2.1.2. Cantidades Serv.'!G29,"")</f>
        <v>349.39696969696973</v>
      </c>
      <c r="H29" s="304">
        <f>IFERROR('2.1.1. Ingresos Serv.'!G29/'2.1.2. Cantidades Serv.'!H29,"")</f>
        <v>284.01468275623768</v>
      </c>
      <c r="I29" s="304">
        <f>IFERROR('2.1.1. Ingresos Serv.'!H29/'2.1.2. Cantidades Serv.'!I29,"")</f>
        <v>360.13472395123148</v>
      </c>
      <c r="J29" s="304">
        <f>IFERROR('2.1.1. Ingresos Serv.'!I29/'2.1.2. Cantidades Serv.'!J29,"")</f>
        <v>353.89961979320526</v>
      </c>
      <c r="K29" s="304">
        <f>IFERROR('2.1.1. Ingresos Serv.'!J29/'2.1.2. Cantidades Serv.'!K29,"")</f>
        <v>398.92138545894932</v>
      </c>
      <c r="L29" s="305">
        <f>IFERROR('2.1.1. Ingresos Serv.'!K29/'2.1.2. Cantidades Serv.'!L29,"")</f>
        <v>385.99101741965762</v>
      </c>
      <c r="N29" s="3"/>
    </row>
    <row r="30" spans="2:14">
      <c r="B30" s="15" t="s">
        <v>23</v>
      </c>
      <c r="C30" s="42" t="s">
        <v>48</v>
      </c>
      <c r="D30" s="304" t="str">
        <f>IFERROR('2.1.1. Ingresos Serv.'!C30/'2.1.2. Cantidades Serv.'!D30,"")</f>
        <v/>
      </c>
      <c r="E30" s="304" t="str">
        <f>IFERROR('2.1.1. Ingresos Serv.'!D30/'2.1.2. Cantidades Serv.'!E30,"")</f>
        <v/>
      </c>
      <c r="F30" s="304" t="str">
        <f>IFERROR('2.1.1. Ingresos Serv.'!E30/'2.1.2. Cantidades Serv.'!F30,"")</f>
        <v/>
      </c>
      <c r="G30" s="304" t="str">
        <f>IFERROR('2.1.1. Ingresos Serv.'!F30/'2.1.2. Cantidades Serv.'!G30,"")</f>
        <v/>
      </c>
      <c r="H30" s="304">
        <f>IFERROR('2.1.1. Ingresos Serv.'!G30/'2.1.2. Cantidades Serv.'!H30,"")</f>
        <v>613.51322278035218</v>
      </c>
      <c r="I30" s="304">
        <f>IFERROR('2.1.1. Ingresos Serv.'!H30/'2.1.2. Cantidades Serv.'!I30,"")</f>
        <v>619.08608682767795</v>
      </c>
      <c r="J30" s="304">
        <f>IFERROR('2.1.1. Ingresos Serv.'!I30/'2.1.2. Cantidades Serv.'!J30,"")</f>
        <v>663.2910665189379</v>
      </c>
      <c r="K30" s="304">
        <f>IFERROR('2.1.1. Ingresos Serv.'!J30/'2.1.2. Cantidades Serv.'!K30,"")</f>
        <v>667.18033091498046</v>
      </c>
      <c r="L30" s="305">
        <f>IFERROR('2.1.1. Ingresos Serv.'!K30/'2.1.2. Cantidades Serv.'!L30,"")</f>
        <v>730.82294739047632</v>
      </c>
      <c r="N30" s="3"/>
    </row>
    <row r="31" spans="2:14">
      <c r="B31" s="15" t="s">
        <v>24</v>
      </c>
      <c r="C31" s="42" t="s">
        <v>48</v>
      </c>
      <c r="D31" s="304">
        <f>IFERROR('2.1.1. Ingresos Serv.'!C31/'2.1.2. Cantidades Serv.'!D31,"")</f>
        <v>46.648393633489498</v>
      </c>
      <c r="E31" s="304">
        <f>IFERROR('2.1.1. Ingresos Serv.'!D31/'2.1.2. Cantidades Serv.'!E31,"")</f>
        <v>50.0069437845114</v>
      </c>
      <c r="F31" s="304">
        <f>IFERROR('2.1.1. Ingresos Serv.'!E31/'2.1.2. Cantidades Serv.'!F31,"")</f>
        <v>60.786364051682966</v>
      </c>
      <c r="G31" s="304">
        <f>IFERROR('2.1.1. Ingresos Serv.'!F31/'2.1.2. Cantidades Serv.'!G31,"")</f>
        <v>47.969973670996445</v>
      </c>
      <c r="H31" s="304">
        <f>IFERROR('2.1.1. Ingresos Serv.'!G31/'2.1.2. Cantidades Serv.'!H31,"")</f>
        <v>54.962421500894798</v>
      </c>
      <c r="I31" s="304">
        <f>IFERROR('2.1.1. Ingresos Serv.'!H31/'2.1.2. Cantidades Serv.'!I31,"")</f>
        <v>67.054353980081601</v>
      </c>
      <c r="J31" s="304">
        <f>IFERROR('2.1.1. Ingresos Serv.'!I31/'2.1.2. Cantidades Serv.'!J31,"")</f>
        <v>74.842294694372384</v>
      </c>
      <c r="K31" s="304">
        <f>IFERROR('2.1.1. Ingresos Serv.'!J31/'2.1.2. Cantidades Serv.'!K31,"")</f>
        <v>77.986459106778113</v>
      </c>
      <c r="L31" s="305">
        <f>IFERROR('2.1.1. Ingresos Serv.'!K31/'2.1.2. Cantidades Serv.'!L31,"")</f>
        <v>87.518465347568508</v>
      </c>
      <c r="N31" s="3"/>
    </row>
    <row r="32" spans="2:14">
      <c r="B32" s="15" t="s">
        <v>25</v>
      </c>
      <c r="C32" s="42" t="s">
        <v>48</v>
      </c>
      <c r="D32" s="304">
        <f>IFERROR('2.1.1. Ingresos Serv.'!C32/'2.1.2. Cantidades Serv.'!D32,"")</f>
        <v>10.012532776069207</v>
      </c>
      <c r="E32" s="304">
        <f>IFERROR('2.1.1. Ingresos Serv.'!D32/'2.1.2. Cantidades Serv.'!E32,"")</f>
        <v>9.9460714565724668</v>
      </c>
      <c r="F32" s="304">
        <f>IFERROR('2.1.1. Ingresos Serv.'!E32/'2.1.2. Cantidades Serv.'!F32,"")</f>
        <v>8.2537116276605502</v>
      </c>
      <c r="G32" s="304">
        <f>IFERROR('2.1.1. Ingresos Serv.'!F32/'2.1.2. Cantidades Serv.'!G32,"")</f>
        <v>8.4971921013725122</v>
      </c>
      <c r="H32" s="304">
        <f>IFERROR('2.1.1. Ingresos Serv.'!G32/'2.1.2. Cantidades Serv.'!H32,"")</f>
        <v>10.554910675813012</v>
      </c>
      <c r="I32" s="304">
        <f>IFERROR('2.1.1. Ingresos Serv.'!H32/'2.1.2. Cantidades Serv.'!I32,"")</f>
        <v>10.683499237510153</v>
      </c>
      <c r="J32" s="304">
        <f>IFERROR('2.1.1. Ingresos Serv.'!I32/'2.1.2. Cantidades Serv.'!J32,"")</f>
        <v>10.776762371996698</v>
      </c>
      <c r="K32" s="304">
        <f>IFERROR('2.1.1. Ingresos Serv.'!J32/'2.1.2. Cantidades Serv.'!K32,"")</f>
        <v>13.990895954743058</v>
      </c>
      <c r="L32" s="305">
        <f>IFERROR('2.1.1. Ingresos Serv.'!K32/'2.1.2. Cantidades Serv.'!L32,"")</f>
        <v>12.445953640500026</v>
      </c>
      <c r="N32" s="3"/>
    </row>
    <row r="33" spans="2:14">
      <c r="B33" s="28" t="s">
        <v>26</v>
      </c>
      <c r="C33" s="43"/>
      <c r="D33" s="30"/>
      <c r="E33" s="17"/>
      <c r="F33" s="16"/>
      <c r="G33" s="16"/>
      <c r="H33" s="16"/>
      <c r="I33" s="16"/>
      <c r="J33" s="16"/>
      <c r="K33" s="16"/>
      <c r="L33" s="14"/>
      <c r="N33" s="3"/>
    </row>
    <row r="34" spans="2:14" ht="16.5">
      <c r="B34" s="15" t="s">
        <v>27</v>
      </c>
      <c r="C34" s="42" t="s">
        <v>54</v>
      </c>
      <c r="D34" s="304" t="str">
        <f>IFERROR('2.1.1. Ingresos Serv.'!C34/'2.1.2. Cantidades Serv.'!D34,"")</f>
        <v/>
      </c>
      <c r="E34" s="304" t="str">
        <f>IFERROR('2.1.1. Ingresos Serv.'!D34/'2.1.2. Cantidades Serv.'!E34,"")</f>
        <v/>
      </c>
      <c r="F34" s="304">
        <f>IFERROR('2.1.1. Ingresos Serv.'!E34/'2.1.2. Cantidades Serv.'!F34,"")</f>
        <v>3.0425207037351583</v>
      </c>
      <c r="G34" s="304">
        <f>IFERROR('2.1.1. Ingresos Serv.'!F34/'2.1.2. Cantidades Serv.'!G34,"")</f>
        <v>2.4242001677398468</v>
      </c>
      <c r="H34" s="304">
        <f>IFERROR('2.1.1. Ingresos Serv.'!G34/'2.1.2. Cantidades Serv.'!H34,"")</f>
        <v>2.6798162931847531</v>
      </c>
      <c r="I34" s="304">
        <f>IFERROR('2.1.1. Ingresos Serv.'!H34/'2.1.2. Cantidades Serv.'!I34,"")</f>
        <v>3.1589252899784386</v>
      </c>
      <c r="J34" s="304">
        <f>IFERROR('2.1.1. Ingresos Serv.'!I34/'2.1.2. Cantidades Serv.'!J34,"")</f>
        <v>3.2351411205023686</v>
      </c>
      <c r="K34" s="304">
        <f>IFERROR('2.1.1. Ingresos Serv.'!J34/'2.1.2. Cantidades Serv.'!K34,"")</f>
        <v>3.5920901212813372</v>
      </c>
      <c r="L34" s="305">
        <f>IFERROR('2.1.1. Ingresos Serv.'!K34/'2.1.2. Cantidades Serv.'!L34,"")</f>
        <v>3.6991279363279688</v>
      </c>
      <c r="N34" s="3"/>
    </row>
    <row r="35" spans="2:14">
      <c r="B35" s="15" t="s">
        <v>28</v>
      </c>
      <c r="C35" s="42" t="s">
        <v>47</v>
      </c>
      <c r="D35" s="304">
        <f>IFERROR('2.1.1. Ingresos Serv.'!C35/'2.1.2. Cantidades Serv.'!D35,"")</f>
        <v>3.1410584204575569</v>
      </c>
      <c r="E35" s="304">
        <f>IFERROR('2.1.1. Ingresos Serv.'!D35/'2.1.2. Cantidades Serv.'!E35,"")</f>
        <v>3.3719083004170076</v>
      </c>
      <c r="F35" s="304">
        <f>IFERROR('2.1.1. Ingresos Serv.'!E35/'2.1.2. Cantidades Serv.'!F35,"")</f>
        <v>2.5074736998245135</v>
      </c>
      <c r="G35" s="304">
        <f>IFERROR('2.1.1. Ingresos Serv.'!F35/'2.1.2. Cantidades Serv.'!G35,"")</f>
        <v>3.5726019544463208</v>
      </c>
      <c r="H35" s="304">
        <f>IFERROR('2.1.1. Ingresos Serv.'!G35/'2.1.2. Cantidades Serv.'!H35,"")</f>
        <v>3.7122601145282301</v>
      </c>
      <c r="I35" s="304">
        <f>IFERROR('2.1.1. Ingresos Serv.'!H35/'2.1.2. Cantidades Serv.'!I35,"")</f>
        <v>3.9865589009355737</v>
      </c>
      <c r="J35" s="304">
        <f>IFERROR('2.1.1. Ingresos Serv.'!I35/'2.1.2. Cantidades Serv.'!J35,"")</f>
        <v>4.0461660558424581</v>
      </c>
      <c r="K35" s="304" t="str">
        <f>IFERROR('2.1.1. Ingresos Serv.'!J35/'2.1.2. Cantidades Serv.'!K35,"")</f>
        <v/>
      </c>
      <c r="L35" s="305">
        <f>IFERROR('2.1.1. Ingresos Serv.'!K35/'2.1.2. Cantidades Serv.'!L35,"")</f>
        <v>3.587141631937325</v>
      </c>
      <c r="N35" s="3"/>
    </row>
    <row r="36" spans="2:14">
      <c r="B36" s="15" t="s">
        <v>29</v>
      </c>
      <c r="C36" s="42" t="s">
        <v>49</v>
      </c>
      <c r="D36" s="304" t="str">
        <f>IFERROR('2.1.1. Ingresos Serv.'!C36/'2.1.2. Cantidades Serv.'!D36,"")</f>
        <v/>
      </c>
      <c r="E36" s="304" t="str">
        <f>IFERROR('2.1.1. Ingresos Serv.'!D36/'2.1.2. Cantidades Serv.'!E36,"")</f>
        <v/>
      </c>
      <c r="F36" s="304" t="str">
        <f>IFERROR('2.1.1. Ingresos Serv.'!E36/'2.1.2. Cantidades Serv.'!F36,"")</f>
        <v/>
      </c>
      <c r="G36" s="304" t="str">
        <f>IFERROR('2.1.1. Ingresos Serv.'!F36/'2.1.2. Cantidades Serv.'!G36,"")</f>
        <v/>
      </c>
      <c r="H36" s="304" t="str">
        <f>IFERROR('2.1.1. Ingresos Serv.'!G36/'2.1.2. Cantidades Serv.'!H36,"")</f>
        <v/>
      </c>
      <c r="I36" s="304" t="str">
        <f>IFERROR('2.1.1. Ingresos Serv.'!H36/'2.1.2. Cantidades Serv.'!I36,"")</f>
        <v/>
      </c>
      <c r="J36" s="304" t="str">
        <f>IFERROR('2.1.1. Ingresos Serv.'!I36/'2.1.2. Cantidades Serv.'!J36,"")</f>
        <v/>
      </c>
      <c r="K36" s="304" t="str">
        <f>IFERROR('2.1.1. Ingresos Serv.'!J36/'2.1.2. Cantidades Serv.'!K36,"")</f>
        <v/>
      </c>
      <c r="L36" s="305" t="str">
        <f>IFERROR('2.1.1. Ingresos Serv.'!K36/'2.1.2. Cantidades Serv.'!L36,"")</f>
        <v/>
      </c>
      <c r="N36" s="3"/>
    </row>
    <row r="37" spans="2:14">
      <c r="B37" s="28" t="s">
        <v>30</v>
      </c>
      <c r="C37" s="43"/>
      <c r="D37" s="30"/>
      <c r="E37" s="30"/>
      <c r="F37" s="30"/>
      <c r="G37" s="30"/>
      <c r="H37" s="30"/>
      <c r="I37" s="30"/>
      <c r="J37" s="30"/>
      <c r="K37" s="30"/>
      <c r="L37" s="14"/>
      <c r="N37" s="3"/>
    </row>
    <row r="38" spans="2:14">
      <c r="B38" s="15" t="s">
        <v>31</v>
      </c>
      <c r="C38" s="42" t="s">
        <v>50</v>
      </c>
      <c r="D38" s="304" t="str">
        <f>IFERROR('2.1.1. Ingresos Serv.'!C38/'2.1.2. Cantidades Serv.'!D38,"")</f>
        <v/>
      </c>
      <c r="E38" s="304" t="str">
        <f>IFERROR('2.1.1. Ingresos Serv.'!D38/'2.1.2. Cantidades Serv.'!E38,"")</f>
        <v/>
      </c>
      <c r="F38" s="304">
        <f>IFERROR('2.1.1. Ingresos Serv.'!E38/'2.1.2. Cantidades Serv.'!F38,"")</f>
        <v>1.8499336609197092</v>
      </c>
      <c r="G38" s="304" t="str">
        <f>IFERROR('2.1.1. Ingresos Serv.'!F38/'2.1.2. Cantidades Serv.'!G38,"")</f>
        <v/>
      </c>
      <c r="H38" s="304" t="str">
        <f>IFERROR('2.1.1. Ingresos Serv.'!G38/'2.1.2. Cantidades Serv.'!H38,"")</f>
        <v/>
      </c>
      <c r="I38" s="304">
        <f>IFERROR('2.1.1. Ingresos Serv.'!H38/'2.1.2. Cantidades Serv.'!I38,"")</f>
        <v>2.7484553208883549</v>
      </c>
      <c r="J38" s="304">
        <f>IFERROR('2.1.1. Ingresos Serv.'!I38/'2.1.2. Cantidades Serv.'!J38,"")</f>
        <v>2.698847217920461</v>
      </c>
      <c r="K38" s="304">
        <f>IFERROR('2.1.1. Ingresos Serv.'!J38/'2.1.2. Cantidades Serv.'!K38,"")</f>
        <v>2.7555211772411798</v>
      </c>
      <c r="L38" s="305">
        <f>IFERROR('2.1.1. Ingresos Serv.'!K38/'2.1.2. Cantidades Serv.'!L38,"")</f>
        <v>2.5468713481060354</v>
      </c>
      <c r="N38" s="3"/>
    </row>
    <row r="39" spans="2:14">
      <c r="B39" s="15" t="s">
        <v>14</v>
      </c>
      <c r="C39" s="42" t="s">
        <v>50</v>
      </c>
      <c r="D39" s="304" t="str">
        <f>IFERROR('2.1.1. Ingresos Serv.'!C39/'2.1.2. Cantidades Serv.'!D39,"")</f>
        <v/>
      </c>
      <c r="E39" s="304" t="str">
        <f>IFERROR('2.1.1. Ingresos Serv.'!D39/'2.1.2. Cantidades Serv.'!E39,"")</f>
        <v/>
      </c>
      <c r="F39" s="304">
        <f>IFERROR('2.1.1. Ingresos Serv.'!E39/'2.1.2. Cantidades Serv.'!F39,"")</f>
        <v>0.82408412669689923</v>
      </c>
      <c r="G39" s="304">
        <f>IFERROR('2.1.1. Ingresos Serv.'!F39/'2.1.2. Cantidades Serv.'!G39,"")</f>
        <v>1.2408393339159034</v>
      </c>
      <c r="H39" s="304">
        <f>IFERROR('2.1.1. Ingresos Serv.'!G39/'2.1.2. Cantidades Serv.'!H39,"")</f>
        <v>1.5914104650205989</v>
      </c>
      <c r="I39" s="304">
        <f>IFERROR('2.1.1. Ingresos Serv.'!H39/'2.1.2. Cantidades Serv.'!I39,"")</f>
        <v>3.0516788242760877</v>
      </c>
      <c r="J39" s="304">
        <f>IFERROR('2.1.1. Ingresos Serv.'!I39/'2.1.2. Cantidades Serv.'!J39,"")</f>
        <v>2.5903942705274421</v>
      </c>
      <c r="K39" s="304">
        <f>IFERROR('2.1.1. Ingresos Serv.'!J39/'2.1.2. Cantidades Serv.'!K39,"")</f>
        <v>3.5072024475229524</v>
      </c>
      <c r="L39" s="305">
        <f>IFERROR('2.1.1. Ingresos Serv.'!K39/'2.1.2. Cantidades Serv.'!L39,"")</f>
        <v>5.613265595486344</v>
      </c>
      <c r="N39" s="3"/>
    </row>
    <row r="40" spans="2:14">
      <c r="B40" s="15" t="s">
        <v>32</v>
      </c>
      <c r="C40" s="42" t="s">
        <v>50</v>
      </c>
      <c r="D40" s="304" t="str">
        <f>IFERROR('2.1.1. Ingresos Serv.'!C40/'2.1.2. Cantidades Serv.'!D40,"")</f>
        <v/>
      </c>
      <c r="E40" s="304" t="str">
        <f>IFERROR('2.1.1. Ingresos Serv.'!D40/'2.1.2. Cantidades Serv.'!E40,"")</f>
        <v/>
      </c>
      <c r="F40" s="304" t="str">
        <f>IFERROR('2.1.1. Ingresos Serv.'!E40/'2.1.2. Cantidades Serv.'!F40,"")</f>
        <v/>
      </c>
      <c r="G40" s="304" t="str">
        <f>IFERROR('2.1.1. Ingresos Serv.'!F40/'2.1.2. Cantidades Serv.'!G40,"")</f>
        <v/>
      </c>
      <c r="H40" s="304" t="str">
        <f>IFERROR('2.1.1. Ingresos Serv.'!G40/'2.1.2. Cantidades Serv.'!H40,"")</f>
        <v/>
      </c>
      <c r="I40" s="304" t="str">
        <f>IFERROR('2.1.1. Ingresos Serv.'!H40/'2.1.2. Cantidades Serv.'!I40,"")</f>
        <v/>
      </c>
      <c r="J40" s="304" t="str">
        <f>IFERROR('2.1.1. Ingresos Serv.'!I40/'2.1.2. Cantidades Serv.'!J40,"")</f>
        <v/>
      </c>
      <c r="K40" s="304" t="str">
        <f>IFERROR('2.1.1. Ingresos Serv.'!J40/'2.1.2. Cantidades Serv.'!K40,"")</f>
        <v/>
      </c>
      <c r="L40" s="305" t="str">
        <f>IFERROR('2.1.1. Ingresos Serv.'!K40/'2.1.2. Cantidades Serv.'!L40,"")</f>
        <v/>
      </c>
      <c r="N40" s="3"/>
    </row>
    <row r="41" spans="2:14">
      <c r="B41" s="6" t="s">
        <v>33</v>
      </c>
      <c r="C41" s="40"/>
      <c r="D41" s="32"/>
      <c r="E41" s="31"/>
      <c r="F41" s="31"/>
      <c r="G41" s="31"/>
      <c r="H41" s="25"/>
      <c r="I41" s="26"/>
      <c r="J41" s="26"/>
      <c r="K41" s="26"/>
      <c r="L41" s="27"/>
      <c r="N41" s="3"/>
    </row>
    <row r="42" spans="2:14" ht="16.5">
      <c r="B42" s="15" t="s">
        <v>34</v>
      </c>
      <c r="C42" s="42" t="s">
        <v>55</v>
      </c>
      <c r="D42" s="304">
        <f>IFERROR('2.1.1. Ingresos Serv.'!C42/'2.1.2. Cantidades Serv.'!D42,"")</f>
        <v>0.88080206306819497</v>
      </c>
      <c r="E42" s="304">
        <f>IFERROR('2.1.1. Ingresos Serv.'!D42/'2.1.2. Cantidades Serv.'!E42,"")</f>
        <v>0.89841810432955904</v>
      </c>
      <c r="F42" s="304">
        <f>IFERROR('2.1.1. Ingresos Serv.'!E42/'2.1.2. Cantidades Serv.'!F42,"")</f>
        <v>0.91638646641615007</v>
      </c>
      <c r="G42" s="304">
        <f>IFERROR('2.1.1. Ingresos Serv.'!F42/'2.1.2. Cantidades Serv.'!G42,"")</f>
        <v>0.93471419574447312</v>
      </c>
      <c r="H42" s="304">
        <f>IFERROR('2.1.1. Ingresos Serv.'!G42/'2.1.2. Cantidades Serv.'!H42,"")</f>
        <v>0.9534084796593626</v>
      </c>
      <c r="I42" s="304">
        <f>IFERROR('2.1.1. Ingresos Serv.'!H42/'2.1.2. Cantidades Serv.'!I42,"")</f>
        <v>0.97247664925254995</v>
      </c>
      <c r="J42" s="304">
        <f>IFERROR('2.1.1. Ingresos Serv.'!I42/'2.1.2. Cantidades Serv.'!J42,"")</f>
        <v>0.99192618223760087</v>
      </c>
      <c r="K42" s="304">
        <f>IFERROR('2.1.1. Ingresos Serv.'!J42/'2.1.2. Cantidades Serv.'!K42,"")</f>
        <v>1.0117647058823529</v>
      </c>
      <c r="L42" s="305">
        <f>IFERROR('2.1.1. Ingresos Serv.'!K42/'2.1.2. Cantidades Serv.'!L42,"")</f>
        <v>1.032</v>
      </c>
      <c r="N42" s="3"/>
    </row>
    <row r="43" spans="2:14">
      <c r="B43" s="15" t="s">
        <v>35</v>
      </c>
      <c r="C43" s="42" t="s">
        <v>51</v>
      </c>
      <c r="D43" s="304">
        <f>IFERROR('2.1.1. Ingresos Serv.'!C43/'2.1.2. Cantidades Serv.'!D43,"")</f>
        <v>0.88080206306819508</v>
      </c>
      <c r="E43" s="304">
        <f>IFERROR('2.1.1. Ingresos Serv.'!D43/'2.1.2. Cantidades Serv.'!E43,"")</f>
        <v>0.89841810432955893</v>
      </c>
      <c r="F43" s="304">
        <f>IFERROR('2.1.1. Ingresos Serv.'!E43/'2.1.2. Cantidades Serv.'!F43,"")</f>
        <v>0.91638646641615018</v>
      </c>
      <c r="G43" s="304">
        <f>IFERROR('2.1.1. Ingresos Serv.'!F43/'2.1.2. Cantidades Serv.'!G43,"")</f>
        <v>0.93471419574447312</v>
      </c>
      <c r="H43" s="304">
        <f>IFERROR('2.1.1. Ingresos Serv.'!G43/'2.1.2. Cantidades Serv.'!H43,"")</f>
        <v>0.9534084796593626</v>
      </c>
      <c r="I43" s="304">
        <f>IFERROR('2.1.1. Ingresos Serv.'!H43/'2.1.2. Cantidades Serv.'!I43,"")</f>
        <v>0.97247664925254984</v>
      </c>
      <c r="J43" s="304">
        <f>IFERROR('2.1.1. Ingresos Serv.'!I43/'2.1.2. Cantidades Serv.'!J43,"")</f>
        <v>0.99192618223760087</v>
      </c>
      <c r="K43" s="304">
        <f>IFERROR('2.1.1. Ingresos Serv.'!J43/'2.1.2. Cantidades Serv.'!K43,"")</f>
        <v>1.0117647058823529</v>
      </c>
      <c r="L43" s="305">
        <f>IFERROR('2.1.1. Ingresos Serv.'!K43/'2.1.2. Cantidades Serv.'!L43,"")</f>
        <v>1.032</v>
      </c>
      <c r="N43" s="3"/>
    </row>
    <row r="44" spans="2:14">
      <c r="B44" s="15" t="s">
        <v>36</v>
      </c>
      <c r="C44" s="42" t="s">
        <v>1</v>
      </c>
      <c r="D44" s="304">
        <f>IFERROR('2.1.1. Ingresos Serv.'!C44/'2.1.2. Cantidades Serv.'!D44,"")</f>
        <v>0.88080206306819497</v>
      </c>
      <c r="E44" s="304">
        <f>IFERROR('2.1.1. Ingresos Serv.'!D44/'2.1.2. Cantidades Serv.'!E44,"")</f>
        <v>0.89841810432955882</v>
      </c>
      <c r="F44" s="304">
        <f>IFERROR('2.1.1. Ingresos Serv.'!E44/'2.1.2. Cantidades Serv.'!F44,"")</f>
        <v>0.91638646641615007</v>
      </c>
      <c r="G44" s="304">
        <f>IFERROR('2.1.1. Ingresos Serv.'!F44/'2.1.2. Cantidades Serv.'!G44,"")</f>
        <v>0.93471419574447312</v>
      </c>
      <c r="H44" s="304">
        <f>IFERROR('2.1.1. Ingresos Serv.'!G44/'2.1.2. Cantidades Serv.'!H44,"")</f>
        <v>0.9534084796593626</v>
      </c>
      <c r="I44" s="304" t="str">
        <f>IFERROR('2.1.1. Ingresos Serv.'!H44/'2.1.2. Cantidades Serv.'!I44,"")</f>
        <v/>
      </c>
      <c r="J44" s="304">
        <f>IFERROR('2.1.1. Ingresos Serv.'!I44/'2.1.2. Cantidades Serv.'!J44,"")</f>
        <v>0.99192618223760087</v>
      </c>
      <c r="K44" s="304" t="str">
        <f>IFERROR('2.1.1. Ingresos Serv.'!J44/'2.1.2. Cantidades Serv.'!K44,"")</f>
        <v/>
      </c>
      <c r="L44" s="305" t="str">
        <f>IFERROR('2.1.1. Ingresos Serv.'!K44/'2.1.2. Cantidades Serv.'!L44,"")</f>
        <v/>
      </c>
      <c r="N44" s="3"/>
    </row>
    <row r="45" spans="2:14">
      <c r="B45" s="15" t="s">
        <v>37</v>
      </c>
      <c r="C45" s="42" t="s">
        <v>52</v>
      </c>
      <c r="D45" s="304">
        <f>IFERROR('2.1.1. Ingresos Serv.'!C45/'2.1.2. Cantidades Serv.'!D45,"")</f>
        <v>0.88080206306819497</v>
      </c>
      <c r="E45" s="304">
        <f>IFERROR('2.1.1. Ingresos Serv.'!D45/'2.1.2. Cantidades Serv.'!E45,"")</f>
        <v>0.89841810432955893</v>
      </c>
      <c r="F45" s="304">
        <f>IFERROR('2.1.1. Ingresos Serv.'!E45/'2.1.2. Cantidades Serv.'!F45,"")</f>
        <v>0.91638646641615007</v>
      </c>
      <c r="G45" s="304">
        <f>IFERROR('2.1.1. Ingresos Serv.'!F45/'2.1.2. Cantidades Serv.'!G45,"")</f>
        <v>0.93471419574447301</v>
      </c>
      <c r="H45" s="304">
        <f>IFERROR('2.1.1. Ingresos Serv.'!G45/'2.1.2. Cantidades Serv.'!H45,"")</f>
        <v>0.9534084796593626</v>
      </c>
      <c r="I45" s="304">
        <f>IFERROR('2.1.1. Ingresos Serv.'!H45/'2.1.2. Cantidades Serv.'!I45,"")</f>
        <v>0.97247664925254984</v>
      </c>
      <c r="J45" s="304">
        <f>IFERROR('2.1.1. Ingresos Serv.'!I45/'2.1.2. Cantidades Serv.'!J45,"")</f>
        <v>0.99192618223760087</v>
      </c>
      <c r="K45" s="304">
        <f>IFERROR('2.1.1. Ingresos Serv.'!J45/'2.1.2. Cantidades Serv.'!K45,"")</f>
        <v>1.0117647058823529</v>
      </c>
      <c r="L45" s="305">
        <f>IFERROR('2.1.1. Ingresos Serv.'!K45/'2.1.2. Cantidades Serv.'!L45,"")</f>
        <v>1.032</v>
      </c>
      <c r="N45" s="3"/>
    </row>
    <row r="46" spans="2:14">
      <c r="B46" s="15" t="s">
        <v>38</v>
      </c>
      <c r="C46" s="42" t="s">
        <v>47</v>
      </c>
      <c r="D46" s="304">
        <f>IFERROR('2.1.1. Ingresos Serv.'!C46/'2.1.2. Cantidades Serv.'!D46,"")</f>
        <v>0.88080206306819497</v>
      </c>
      <c r="E46" s="304">
        <f>IFERROR('2.1.1. Ingresos Serv.'!D46/'2.1.2. Cantidades Serv.'!E46,"")</f>
        <v>0.89841810432955893</v>
      </c>
      <c r="F46" s="304">
        <f>IFERROR('2.1.1. Ingresos Serv.'!E46/'2.1.2. Cantidades Serv.'!F46,"")</f>
        <v>0.91638646641615018</v>
      </c>
      <c r="G46" s="304">
        <f>IFERROR('2.1.1. Ingresos Serv.'!F46/'2.1.2. Cantidades Serv.'!G46,"")</f>
        <v>0.93471419574447312</v>
      </c>
      <c r="H46" s="304">
        <f>IFERROR('2.1.1. Ingresos Serv.'!G46/'2.1.2. Cantidades Serv.'!H46,"")</f>
        <v>0.9534084796593626</v>
      </c>
      <c r="I46" s="304">
        <f>IFERROR('2.1.1. Ingresos Serv.'!H46/'2.1.2. Cantidades Serv.'!I46,"")</f>
        <v>0.97247664925254984</v>
      </c>
      <c r="J46" s="304">
        <f>IFERROR('2.1.1. Ingresos Serv.'!I46/'2.1.2. Cantidades Serv.'!J46,"")</f>
        <v>0.99192618223760087</v>
      </c>
      <c r="K46" s="304">
        <f>IFERROR('2.1.1. Ingresos Serv.'!J46/'2.1.2. Cantidades Serv.'!K46,"")</f>
        <v>1.0117647058823529</v>
      </c>
      <c r="L46" s="305">
        <f>IFERROR('2.1.1. Ingresos Serv.'!K46/'2.1.2. Cantidades Serv.'!L46,"")</f>
        <v>1.032</v>
      </c>
      <c r="N46" s="3"/>
    </row>
    <row r="47" spans="2:14">
      <c r="B47" s="15" t="s">
        <v>39</v>
      </c>
      <c r="C47" s="42" t="s">
        <v>53</v>
      </c>
      <c r="D47" s="304">
        <f>IFERROR('2.1.1. Ingresos Serv.'!C47/'2.1.2. Cantidades Serv.'!D47,"")</f>
        <v>0.88080206306819497</v>
      </c>
      <c r="E47" s="304">
        <f>IFERROR('2.1.1. Ingresos Serv.'!D47/'2.1.2. Cantidades Serv.'!E47,"")</f>
        <v>0.89841810432955893</v>
      </c>
      <c r="F47" s="304">
        <f>IFERROR('2.1.1. Ingresos Serv.'!E47/'2.1.2. Cantidades Serv.'!F47,"")</f>
        <v>0.91638646641615007</v>
      </c>
      <c r="G47" s="304">
        <f>IFERROR('2.1.1. Ingresos Serv.'!F47/'2.1.2. Cantidades Serv.'!G47,"")</f>
        <v>0.93471419574447323</v>
      </c>
      <c r="H47" s="304">
        <f>IFERROR('2.1.1. Ingresos Serv.'!G47/'2.1.2. Cantidades Serv.'!H47,"")</f>
        <v>0.95340847965936271</v>
      </c>
      <c r="I47" s="304">
        <f>IFERROR('2.1.1. Ingresos Serv.'!H47/'2.1.2. Cantidades Serv.'!I47,"")</f>
        <v>0.97247664925254984</v>
      </c>
      <c r="J47" s="304">
        <f>IFERROR('2.1.1. Ingresos Serv.'!I47/'2.1.2. Cantidades Serv.'!J47,"")</f>
        <v>0.99192618223760098</v>
      </c>
      <c r="K47" s="304">
        <f>IFERROR('2.1.1. Ingresos Serv.'!J47/'2.1.2. Cantidades Serv.'!K47,"")</f>
        <v>1.0117647058823529</v>
      </c>
      <c r="L47" s="305">
        <f>IFERROR('2.1.1. Ingresos Serv.'!K47/'2.1.2. Cantidades Serv.'!L47,"")</f>
        <v>1.032</v>
      </c>
      <c r="N47" s="3"/>
    </row>
    <row r="48" spans="2:14" ht="15" thickBot="1">
      <c r="B48" s="33" t="s">
        <v>40</v>
      </c>
      <c r="C48" s="45" t="s">
        <v>217</v>
      </c>
      <c r="D48" s="306">
        <f>IFERROR('2.1.1. Ingresos Serv.'!C48/'2.1.2. Cantidades Serv.'!D48,"")</f>
        <v>0.90696727747988826</v>
      </c>
      <c r="E48" s="306">
        <f>IFERROR('2.1.1. Ingresos Serv.'!D48/'2.1.2. Cantidades Serv.'!E48,"")</f>
        <v>0.86921671880129281</v>
      </c>
      <c r="F48" s="306">
        <f>IFERROR('2.1.1. Ingresos Serv.'!E48/'2.1.2. Cantidades Serv.'!F48,"")</f>
        <v>0.91016069669257627</v>
      </c>
      <c r="G48" s="306">
        <f>IFERROR('2.1.1. Ingresos Serv.'!F48/'2.1.2. Cantidades Serv.'!G48,"")</f>
        <v>0.91771540772747118</v>
      </c>
      <c r="H48" s="306">
        <f>IFERROR('2.1.1. Ingresos Serv.'!G48/'2.1.2. Cantidades Serv.'!H48,"")</f>
        <v>0.91442791500385867</v>
      </c>
      <c r="I48" s="306">
        <f>IFERROR('2.1.1. Ingresos Serv.'!H48/'2.1.2. Cantidades Serv.'!I48,"")</f>
        <v>0.87495691494148864</v>
      </c>
      <c r="J48" s="306">
        <f>IFERROR('2.1.1. Ingresos Serv.'!I48/'2.1.2. Cantidades Serv.'!J48,"")</f>
        <v>0.86143466526172729</v>
      </c>
      <c r="K48" s="306">
        <f>IFERROR('2.1.1. Ingresos Serv.'!J48/'2.1.2. Cantidades Serv.'!K48,"")</f>
        <v>0.96586864143828299</v>
      </c>
      <c r="L48" s="307">
        <f>IFERROR('2.1.1. Ingresos Serv.'!K48/'2.1.2. Cantidades Serv.'!L48,"")</f>
        <v>1.0107993111978584</v>
      </c>
      <c r="N48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CED51-1C8F-404E-A908-CD6D8AC9D590}">
  <sheetPr>
    <tabColor rgb="FF00B050"/>
  </sheetPr>
  <dimension ref="B3:K75"/>
  <sheetViews>
    <sheetView showGridLines="0" zoomScale="90" zoomScaleNormal="90" workbookViewId="0">
      <selection activeCell="M14" sqref="M14"/>
    </sheetView>
  </sheetViews>
  <sheetFormatPr baseColWidth="10" defaultColWidth="11.453125" defaultRowHeight="14.5"/>
  <cols>
    <col min="1" max="1" width="11.453125" style="3"/>
    <col min="2" max="2" width="32.1796875" style="3" customWidth="1"/>
    <col min="3" max="9" width="14.1796875" style="3" bestFit="1" customWidth="1"/>
    <col min="10" max="13" width="15.26953125" style="3" bestFit="1" customWidth="1"/>
    <col min="14" max="16384" width="11.453125" style="3"/>
  </cols>
  <sheetData>
    <row r="3" spans="2:11">
      <c r="B3" s="50" t="s">
        <v>245</v>
      </c>
    </row>
    <row r="4" spans="2:11">
      <c r="B4" s="50"/>
    </row>
    <row r="5" spans="2:11">
      <c r="B5" s="50"/>
    </row>
    <row r="6" spans="2:11">
      <c r="B6" s="50" t="s">
        <v>246</v>
      </c>
    </row>
    <row r="7" spans="2:11" ht="15" thickBot="1"/>
    <row r="8" spans="2:11">
      <c r="B8" s="388"/>
      <c r="C8" s="125">
        <v>2016</v>
      </c>
      <c r="D8" s="125">
        <v>2017</v>
      </c>
      <c r="E8" s="125">
        <v>2018</v>
      </c>
      <c r="F8" s="125">
        <v>2019</v>
      </c>
      <c r="G8" s="125">
        <v>2020</v>
      </c>
      <c r="H8" s="125">
        <v>2021</v>
      </c>
      <c r="I8" s="125">
        <v>2022</v>
      </c>
      <c r="J8" s="126">
        <v>2023</v>
      </c>
    </row>
    <row r="9" spans="2:11">
      <c r="B9" s="175" t="s">
        <v>255</v>
      </c>
      <c r="C9" s="378">
        <f t="shared" ref="C9:J9" si="0">+SUMPRODUCT(C23:C45,D53:D75)/SUMPRODUCT(C23:C45,C53:C75)</f>
        <v>0.98173626104756995</v>
      </c>
      <c r="D9" s="378">
        <f t="shared" si="0"/>
        <v>1.1783444614299885</v>
      </c>
      <c r="E9" s="378">
        <f t="shared" si="0"/>
        <v>1.0100238070454508</v>
      </c>
      <c r="F9" s="378">
        <f t="shared" si="0"/>
        <v>1.5384929663321381</v>
      </c>
      <c r="G9" s="378">
        <f t="shared" si="0"/>
        <v>1.9514078031324846</v>
      </c>
      <c r="H9" s="378">
        <f t="shared" si="0"/>
        <v>1.3225193476223924</v>
      </c>
      <c r="I9" s="378">
        <f t="shared" si="0"/>
        <v>1.1519149055649553</v>
      </c>
      <c r="J9" s="379">
        <f t="shared" si="0"/>
        <v>0.98260257218549885</v>
      </c>
    </row>
    <row r="10" spans="2:11">
      <c r="B10" s="175" t="s">
        <v>256</v>
      </c>
      <c r="C10" s="378">
        <f t="shared" ref="C10:J10" si="1">+SUMPRODUCT(D23:D45,D53:D75)/SUMPRODUCT(D23:D45,C53:C75)</f>
        <v>0.98104095000521974</v>
      </c>
      <c r="D10" s="378">
        <f t="shared" si="1"/>
        <v>1.1931152554828302</v>
      </c>
      <c r="E10" s="378">
        <f t="shared" si="1"/>
        <v>1.0078173847335974</v>
      </c>
      <c r="F10" s="378">
        <f t="shared" si="1"/>
        <v>1.5226636400970639</v>
      </c>
      <c r="G10" s="378">
        <f t="shared" si="1"/>
        <v>1.8687315484700602</v>
      </c>
      <c r="H10" s="378">
        <f t="shared" si="1"/>
        <v>1.2345591010456445</v>
      </c>
      <c r="I10" s="378">
        <f t="shared" si="1"/>
        <v>1.2774278677857129</v>
      </c>
      <c r="J10" s="379">
        <f t="shared" si="1"/>
        <v>0.9656205376643161</v>
      </c>
    </row>
    <row r="11" spans="2:11" ht="15" thickBot="1">
      <c r="B11" s="185" t="s">
        <v>257</v>
      </c>
      <c r="C11" s="386">
        <f t="shared" ref="C11:J11" si="2">+SQRT(C9*C10)</f>
        <v>0.98138854394815533</v>
      </c>
      <c r="D11" s="386">
        <f t="shared" si="2"/>
        <v>1.1857068580158499</v>
      </c>
      <c r="E11" s="386">
        <f t="shared" si="2"/>
        <v>1.0089199927324355</v>
      </c>
      <c r="F11" s="386">
        <f t="shared" si="2"/>
        <v>1.5305578396058814</v>
      </c>
      <c r="G11" s="386">
        <f t="shared" si="2"/>
        <v>1.90962229921111</v>
      </c>
      <c r="H11" s="386">
        <f t="shared" si="2"/>
        <v>1.2777825702818821</v>
      </c>
      <c r="I11" s="386">
        <f t="shared" si="2"/>
        <v>1.2130491340776026</v>
      </c>
      <c r="J11" s="387">
        <f t="shared" si="2"/>
        <v>0.97407454748807676</v>
      </c>
    </row>
    <row r="12" spans="2:11" ht="15" thickBot="1"/>
    <row r="13" spans="2:11" ht="15" thickBot="1">
      <c r="B13" s="281" t="s">
        <v>258</v>
      </c>
      <c r="C13" s="533">
        <f t="shared" ref="C13:J13" si="3">LN(C11)</f>
        <v>-1.8786828567325903E-2</v>
      </c>
      <c r="D13" s="533">
        <f t="shared" si="3"/>
        <v>0.17033910140363592</v>
      </c>
      <c r="E13" s="533">
        <f t="shared" si="3"/>
        <v>8.8804446026261794E-3</v>
      </c>
      <c r="F13" s="533">
        <f t="shared" si="3"/>
        <v>0.42563227000312864</v>
      </c>
      <c r="G13" s="533">
        <f t="shared" si="3"/>
        <v>0.64690547339947557</v>
      </c>
      <c r="H13" s="533">
        <f t="shared" si="3"/>
        <v>0.24512620868133733</v>
      </c>
      <c r="I13" s="533">
        <f t="shared" si="3"/>
        <v>0.19313713538855029</v>
      </c>
      <c r="J13" s="534">
        <f t="shared" si="3"/>
        <v>-2.6267440806352932E-2</v>
      </c>
    </row>
    <row r="14" spans="2:11" ht="15" thickBot="1">
      <c r="B14" s="50"/>
      <c r="C14" s="391"/>
      <c r="D14" s="391"/>
      <c r="E14" s="391"/>
      <c r="F14" s="391"/>
      <c r="G14" s="391"/>
      <c r="H14" s="391"/>
      <c r="I14" s="391"/>
      <c r="J14" s="391"/>
      <c r="K14" s="391"/>
    </row>
    <row r="15" spans="2:11" ht="15" thickBot="1">
      <c r="B15" s="281" t="s">
        <v>127</v>
      </c>
      <c r="C15" s="390">
        <f>AVERAGE(C13:J13)</f>
        <v>0.20562079551313436</v>
      </c>
      <c r="D15" s="391"/>
      <c r="E15" s="391"/>
      <c r="F15" s="391"/>
      <c r="G15" s="391"/>
      <c r="H15" s="391"/>
      <c r="I15" s="391"/>
      <c r="J15" s="391"/>
      <c r="K15" s="391"/>
    </row>
    <row r="17" spans="2:11">
      <c r="B17" s="374" t="s">
        <v>247</v>
      </c>
    </row>
    <row r="18" spans="2:11" ht="15" thickBot="1"/>
    <row r="19" spans="2:11">
      <c r="B19" s="173"/>
      <c r="C19" s="125">
        <v>2015</v>
      </c>
      <c r="D19" s="125">
        <v>2016</v>
      </c>
      <c r="E19" s="125">
        <v>2017</v>
      </c>
      <c r="F19" s="125">
        <v>2018</v>
      </c>
      <c r="G19" s="125">
        <v>2019</v>
      </c>
      <c r="H19" s="125">
        <v>2020</v>
      </c>
      <c r="I19" s="125">
        <v>2021</v>
      </c>
      <c r="J19" s="125">
        <v>2022</v>
      </c>
      <c r="K19" s="126">
        <v>2023</v>
      </c>
    </row>
    <row r="20" spans="2:11">
      <c r="B20" s="212" t="s">
        <v>248</v>
      </c>
      <c r="C20" s="50"/>
      <c r="D20" s="50"/>
      <c r="E20" s="50"/>
      <c r="F20" s="50"/>
      <c r="G20" s="50"/>
      <c r="H20" s="50"/>
      <c r="I20" s="50"/>
      <c r="J20" s="50"/>
      <c r="K20" s="375"/>
    </row>
    <row r="21" spans="2:11">
      <c r="B21" s="175"/>
      <c r="K21" s="174"/>
    </row>
    <row r="22" spans="2:11">
      <c r="B22" s="175" t="s">
        <v>57</v>
      </c>
      <c r="K22" s="174"/>
    </row>
    <row r="23" spans="2:11">
      <c r="B23" s="47" t="s">
        <v>58</v>
      </c>
      <c r="C23" s="190">
        <f>'2.2.1. Mano de Obra'!C29</f>
        <v>4.6289634615658031</v>
      </c>
      <c r="D23" s="190">
        <f>'2.2.1. Mano de Obra'!D29</f>
        <v>6.400762421210902</v>
      </c>
      <c r="E23" s="190">
        <f>'2.2.1. Mano de Obra'!E29</f>
        <v>6.2003898321098339</v>
      </c>
      <c r="F23" s="190">
        <f>'2.2.1. Mano de Obra'!F29</f>
        <v>5.4309068189625265</v>
      </c>
      <c r="G23" s="190">
        <f>'2.2.1. Mano de Obra'!G29</f>
        <v>6.2763309381857901</v>
      </c>
      <c r="H23" s="190">
        <f>'2.2.1. Mano de Obra'!H29</f>
        <v>7.0719351478955979</v>
      </c>
      <c r="I23" s="190">
        <f>'2.2.1. Mano de Obra'!I29</f>
        <v>8.6452949050640004</v>
      </c>
      <c r="J23" s="190">
        <f>'2.2.1. Mano de Obra'!J29</f>
        <v>7.554765626424703</v>
      </c>
      <c r="K23" s="191">
        <f>'2.2.1. Mano de Obra'!K29</f>
        <v>8.7018137006240082</v>
      </c>
    </row>
    <row r="24" spans="2:11">
      <c r="B24" s="47" t="s">
        <v>59</v>
      </c>
      <c r="C24" s="190">
        <f>'2.2.1. Mano de Obra'!C30</f>
        <v>12.632162115647043</v>
      </c>
      <c r="D24" s="190">
        <f>'2.2.1. Mano de Obra'!D30</f>
        <v>22.009612340795574</v>
      </c>
      <c r="E24" s="190">
        <f>'2.2.1. Mano de Obra'!E30</f>
        <v>21.202260861330885</v>
      </c>
      <c r="F24" s="190">
        <f>'2.2.1. Mano de Obra'!F30</f>
        <v>20.894399568391169</v>
      </c>
      <c r="G24" s="190">
        <f>'2.2.1. Mano de Obra'!G30</f>
        <v>21.407474260188891</v>
      </c>
      <c r="H24" s="190">
        <f>'2.2.1. Mano de Obra'!H30</f>
        <v>20.801945317199525</v>
      </c>
      <c r="I24" s="190">
        <f>'2.2.1. Mano de Obra'!I30</f>
        <v>23.323546214015096</v>
      </c>
      <c r="J24" s="190">
        <f>'2.2.1. Mano de Obra'!J30</f>
        <v>26.825513736019058</v>
      </c>
      <c r="K24" s="191">
        <f>'2.2.1. Mano de Obra'!K30</f>
        <v>17.741139121337145</v>
      </c>
    </row>
    <row r="25" spans="2:11">
      <c r="B25" s="47" t="s">
        <v>60</v>
      </c>
      <c r="C25" s="190">
        <f>'2.2.1. Mano de Obra'!C31</f>
        <v>31.589247205354276</v>
      </c>
      <c r="D25" s="190">
        <f>'2.2.1. Mano de Obra'!D31</f>
        <v>16.060811013351199</v>
      </c>
      <c r="E25" s="190">
        <f>'2.2.1. Mano de Obra'!E31</f>
        <v>15.730134078791229</v>
      </c>
      <c r="F25" s="190">
        <f>'2.2.1. Mano de Obra'!F31</f>
        <v>13.19216452748806</v>
      </c>
      <c r="G25" s="190">
        <f>'2.2.1. Mano de Obra'!G31</f>
        <v>11.901816086034394</v>
      </c>
      <c r="H25" s="190">
        <f>'2.2.1. Mano de Obra'!H31</f>
        <v>25.62389867457437</v>
      </c>
      <c r="I25" s="190">
        <f>'2.2.1. Mano de Obra'!I31</f>
        <v>6.8785535966071523</v>
      </c>
      <c r="J25" s="190">
        <f>'2.2.1. Mano de Obra'!J31</f>
        <v>8.1371378318682961</v>
      </c>
      <c r="K25" s="191">
        <f>'2.2.1. Mano de Obra'!K31</f>
        <v>8.7416518617692081</v>
      </c>
    </row>
    <row r="26" spans="2:11">
      <c r="B26" s="175"/>
      <c r="C26" s="39"/>
      <c r="D26" s="39"/>
      <c r="E26" s="39"/>
      <c r="F26" s="39"/>
      <c r="G26" s="39"/>
      <c r="H26" s="39"/>
      <c r="I26" s="39"/>
      <c r="J26" s="39"/>
      <c r="K26" s="144"/>
    </row>
    <row r="27" spans="2:11">
      <c r="B27" s="212" t="s">
        <v>249</v>
      </c>
      <c r="C27" s="376"/>
      <c r="D27" s="376"/>
      <c r="E27" s="376"/>
      <c r="F27" s="376"/>
      <c r="G27" s="376"/>
      <c r="H27" s="376"/>
      <c r="I27" s="376"/>
      <c r="J27" s="376"/>
      <c r="K27" s="377"/>
    </row>
    <row r="28" spans="2:11">
      <c r="B28" s="175"/>
      <c r="C28" s="39"/>
      <c r="D28" s="39"/>
      <c r="E28" s="39"/>
      <c r="F28" s="39"/>
      <c r="G28" s="39"/>
      <c r="H28" s="39"/>
      <c r="I28" s="39"/>
      <c r="J28" s="39"/>
      <c r="K28" s="144"/>
    </row>
    <row r="29" spans="2:11">
      <c r="B29" s="175" t="s">
        <v>202</v>
      </c>
      <c r="C29" s="378">
        <f>'2.2.2. Prod. Intermedios'!C25</f>
        <v>0.92279798291153847</v>
      </c>
      <c r="D29" s="378">
        <f>'2.2.2. Prod. Intermedios'!D25</f>
        <v>0.90187911057353298</v>
      </c>
      <c r="E29" s="378">
        <f>'2.2.2. Prod. Intermedios'!E25</f>
        <v>0.95984021240664996</v>
      </c>
      <c r="F29" s="378">
        <f>'2.2.2. Prod. Intermedios'!F25</f>
        <v>0.96479810980474456</v>
      </c>
      <c r="G29" s="378">
        <f>'2.2.2. Prod. Intermedios'!G25</f>
        <v>0.97046388283846141</v>
      </c>
      <c r="H29" s="378">
        <f>'2.2.2. Prod. Intermedios'!H25</f>
        <v>0.94342562972153088</v>
      </c>
      <c r="I29" s="378">
        <f>'2.2.2. Prod. Intermedios'!I25</f>
        <v>0.88323239381378138</v>
      </c>
      <c r="J29" s="378">
        <f>'2.2.2. Prod. Intermedios'!J25</f>
        <v>0.96392283588935623</v>
      </c>
      <c r="K29" s="379">
        <f>'2.2.2. Prod. Intermedios'!K25</f>
        <v>1.0530191030693534</v>
      </c>
    </row>
    <row r="30" spans="2:11">
      <c r="B30" s="175"/>
      <c r="C30" s="39"/>
      <c r="D30" s="39"/>
      <c r="E30" s="39"/>
      <c r="F30" s="39"/>
      <c r="G30" s="39"/>
      <c r="H30" s="39"/>
      <c r="I30" s="39"/>
      <c r="J30" s="39"/>
      <c r="K30" s="144"/>
    </row>
    <row r="31" spans="2:11">
      <c r="B31" s="212" t="s">
        <v>250</v>
      </c>
      <c r="C31" s="376"/>
      <c r="D31" s="376"/>
      <c r="E31" s="376"/>
      <c r="F31" s="376"/>
      <c r="G31" s="376"/>
      <c r="H31" s="376"/>
      <c r="I31" s="376"/>
      <c r="J31" s="376"/>
      <c r="K31" s="377"/>
    </row>
    <row r="32" spans="2:11">
      <c r="B32" s="175"/>
      <c r="C32" s="39"/>
      <c r="D32" s="39"/>
      <c r="E32" s="39"/>
      <c r="F32" s="39"/>
      <c r="G32" s="39"/>
      <c r="H32" s="39"/>
      <c r="I32" s="39"/>
      <c r="J32" s="39"/>
      <c r="K32" s="144"/>
    </row>
    <row r="33" spans="2:11">
      <c r="B33" s="175" t="s">
        <v>94</v>
      </c>
      <c r="C33" s="39"/>
      <c r="D33" s="39"/>
      <c r="E33" s="39"/>
      <c r="F33" s="39"/>
      <c r="G33" s="39"/>
      <c r="H33" s="39"/>
      <c r="I33" s="39"/>
      <c r="J33" s="39"/>
      <c r="K33" s="144"/>
    </row>
    <row r="34" spans="2:11">
      <c r="B34" s="47" t="s">
        <v>95</v>
      </c>
      <c r="C34" s="380">
        <f>'2.2.3.9.PrecioCapital'!C53</f>
        <v>0.37633066177499652</v>
      </c>
      <c r="D34" s="380">
        <f>'2.2.3.9.PrecioCapital'!D53</f>
        <v>0.35835899735899762</v>
      </c>
      <c r="E34" s="380">
        <f>'2.2.3.9.PrecioCapital'!E53</f>
        <v>0.32326868936216518</v>
      </c>
      <c r="F34" s="380">
        <f>'2.2.3.9.PrecioCapital'!F53</f>
        <v>0.31194015142671561</v>
      </c>
      <c r="G34" s="380">
        <f>'2.2.3.9.PrecioCapital'!G53</f>
        <v>0.30562500467430903</v>
      </c>
      <c r="H34" s="380">
        <f>'2.2.3.9.PrecioCapital'!H53</f>
        <v>0.3080549004557307</v>
      </c>
      <c r="I34" s="380">
        <f>'2.2.3.9.PrecioCapital'!I53</f>
        <v>0.26896800003752236</v>
      </c>
      <c r="J34" s="380">
        <f>'2.2.3.9.PrecioCapital'!J53</f>
        <v>0.20652917068131113</v>
      </c>
      <c r="K34" s="381">
        <f>'2.2.3.9.PrecioCapital'!K53</f>
        <v>0.26396214802029005</v>
      </c>
    </row>
    <row r="35" spans="2:11">
      <c r="B35" s="47" t="s">
        <v>96</v>
      </c>
      <c r="C35" s="380">
        <f>'2.2.3.9.PrecioCapital'!C54</f>
        <v>0.32911669994045395</v>
      </c>
      <c r="D35" s="380">
        <f>'2.2.3.9.PrecioCapital'!D54</f>
        <v>0.31176350659187119</v>
      </c>
      <c r="E35" s="380">
        <f>'2.2.3.9.PrecioCapital'!E54</f>
        <v>0.27516930230470182</v>
      </c>
      <c r="F35" s="380">
        <f>'2.2.3.9.PrecioCapital'!F54</f>
        <v>0.26397056434966298</v>
      </c>
      <c r="G35" s="380">
        <f>'2.2.3.9.PrecioCapital'!G54</f>
        <v>0.25764541617353492</v>
      </c>
      <c r="H35" s="380">
        <f>'2.2.3.9.PrecioCapital'!H54</f>
        <v>0.26061372522211779</v>
      </c>
      <c r="I35" s="380">
        <f>'2.2.3.9.PrecioCapital'!I54</f>
        <v>0.22217118117344425</v>
      </c>
      <c r="J35" s="380">
        <f>'2.2.3.9.PrecioCapital'!J54</f>
        <v>0.15739531271651241</v>
      </c>
      <c r="K35" s="381">
        <f>'2.2.3.9.PrecioCapital'!K54</f>
        <v>0.21294900369354083</v>
      </c>
    </row>
    <row r="36" spans="2:11">
      <c r="B36" s="47" t="s">
        <v>97</v>
      </c>
      <c r="C36" s="380">
        <f>'2.2.3.9.PrecioCapital'!C55</f>
        <v>0.38113917911674644</v>
      </c>
      <c r="D36" s="380">
        <f>'2.2.3.9.PrecioCapital'!D55</f>
        <v>0.36310452636557111</v>
      </c>
      <c r="E36" s="380">
        <f>'2.2.3.9.PrecioCapital'!E55</f>
        <v>0.32816738304950877</v>
      </c>
      <c r="F36" s="380">
        <f>'2.2.3.9.PrecioCapital'!F55</f>
        <v>0.31682562560371708</v>
      </c>
      <c r="G36" s="380">
        <f>'2.2.3.9.PrecioCapital'!G55</f>
        <v>0.31051149744872397</v>
      </c>
      <c r="H36" s="380">
        <f>'2.2.3.9.PrecioCapital'!H55</f>
        <v>0.31288655840096435</v>
      </c>
      <c r="I36" s="380">
        <f>'2.2.3.9.PrecioCapital'!I55</f>
        <v>0.27373403335273588</v>
      </c>
      <c r="J36" s="380">
        <f>'2.2.3.9.PrecioCapital'!J55</f>
        <v>0.21153322030796112</v>
      </c>
      <c r="K36" s="381">
        <f>'2.2.3.9.PrecioCapital'!K55</f>
        <v>0.2691575940201828</v>
      </c>
    </row>
    <row r="37" spans="2:11">
      <c r="B37" s="47" t="s">
        <v>98</v>
      </c>
      <c r="C37" s="380">
        <f>'2.2.3.9.PrecioCapital'!C56</f>
        <v>0.29774023207466666</v>
      </c>
      <c r="D37" s="380">
        <f>'2.2.3.9.PrecioCapital'!D56</f>
        <v>0.28079804930047081</v>
      </c>
      <c r="E37" s="380">
        <f>'2.2.3.9.PrecioCapital'!E56</f>
        <v>0.24320441705187351</v>
      </c>
      <c r="F37" s="380">
        <f>'2.2.3.9.PrecioCapital'!F56</f>
        <v>0.232091938854671</v>
      </c>
      <c r="G37" s="380">
        <f>'2.2.3.9.PrecioCapital'!G56</f>
        <v>0.22576014414142095</v>
      </c>
      <c r="H37" s="380">
        <f>'2.2.3.9.PrecioCapital'!H56</f>
        <v>0.22908626062490611</v>
      </c>
      <c r="I37" s="380">
        <f>'2.2.3.9.PrecioCapital'!I56</f>
        <v>0.19107192946363388</v>
      </c>
      <c r="J37" s="380">
        <f>'2.2.3.9.PrecioCapital'!J56</f>
        <v>0.12474296041112355</v>
      </c>
      <c r="K37" s="381">
        <f>'2.2.3.9.PrecioCapital'!K56</f>
        <v>0.17904775453952501</v>
      </c>
    </row>
    <row r="38" spans="2:11">
      <c r="B38" s="47" t="s">
        <v>99</v>
      </c>
      <c r="C38" s="380">
        <f>'2.2.3.9.PrecioCapital'!C57</f>
        <v>0.3689795201073568</v>
      </c>
      <c r="D38" s="380">
        <f>'2.2.3.9.PrecioCapital'!D57</f>
        <v>0.35110415069091422</v>
      </c>
      <c r="E38" s="380">
        <f>'2.2.3.9.PrecioCapital'!E57</f>
        <v>0.31577968834112907</v>
      </c>
      <c r="F38" s="380">
        <f>'2.2.3.9.PrecioCapital'!F57</f>
        <v>0.3044713600641657</v>
      </c>
      <c r="G38" s="380">
        <f>'2.2.3.9.PrecioCapital'!G57</f>
        <v>0.29815465610537778</v>
      </c>
      <c r="H38" s="380">
        <f>'2.2.3.9.PrecioCapital'!H57</f>
        <v>0.30066838200926427</v>
      </c>
      <c r="I38" s="380">
        <f>'2.2.3.9.PrecioCapital'!I57</f>
        <v>0.26168180689257364</v>
      </c>
      <c r="J38" s="380">
        <f>'2.2.3.9.PrecioCapital'!J57</f>
        <v>0.19887910412170559</v>
      </c>
      <c r="K38" s="381">
        <f>'2.2.3.9.PrecioCapital'!K57</f>
        <v>0.25601947944755177</v>
      </c>
    </row>
    <row r="39" spans="2:11">
      <c r="B39" s="47" t="s">
        <v>100</v>
      </c>
      <c r="C39" s="380">
        <f>'2.2.3.9.PrecioCapital'!C58</f>
        <v>0.33954338987374649</v>
      </c>
      <c r="D39" s="380">
        <f>'2.2.3.9.PrecioCapital'!D58</f>
        <v>0.32205361391692466</v>
      </c>
      <c r="E39" s="380">
        <f>'2.2.3.9.PrecioCapital'!E58</f>
        <v>0.28579152876786368</v>
      </c>
      <c r="F39" s="380">
        <f>'2.2.3.9.PrecioCapital'!F58</f>
        <v>0.27456412589896245</v>
      </c>
      <c r="G39" s="380">
        <f>'2.2.3.9.PrecioCapital'!G58</f>
        <v>0.26824118642847961</v>
      </c>
      <c r="H39" s="380">
        <f>'2.2.3.9.PrecioCapital'!H58</f>
        <v>0.27109059276323522</v>
      </c>
      <c r="I39" s="380">
        <f>'2.2.3.9.PrecioCapital'!I58</f>
        <v>0.23250574961889958</v>
      </c>
      <c r="J39" s="380">
        <f>'2.2.3.9.PrecioCapital'!J58</f>
        <v>0.1682459908278032</v>
      </c>
      <c r="K39" s="381">
        <f>'2.2.3.9.PrecioCapital'!K58</f>
        <v>0.22421470175720482</v>
      </c>
    </row>
    <row r="40" spans="2:11">
      <c r="B40" s="175" t="s">
        <v>222</v>
      </c>
      <c r="C40" s="39"/>
      <c r="D40" s="39"/>
      <c r="E40" s="39"/>
      <c r="F40" s="39"/>
      <c r="G40" s="39"/>
      <c r="H40" s="39"/>
      <c r="I40" s="39"/>
      <c r="J40" s="39"/>
      <c r="K40" s="144"/>
    </row>
    <row r="41" spans="2:11">
      <c r="B41" s="47" t="s">
        <v>101</v>
      </c>
      <c r="C41" s="380">
        <f>'2.2.3.9.PrecioCapital'!C60</f>
        <v>0.51313356252372211</v>
      </c>
      <c r="D41" s="380">
        <f>'2.2.3.9.PrecioCapital'!D60</f>
        <v>0.49336987234322172</v>
      </c>
      <c r="E41" s="380">
        <f>'2.2.3.9.PrecioCapital'!E60</f>
        <v>0.46263711806459523</v>
      </c>
      <c r="F41" s="380">
        <f>'2.2.3.9.PrecioCapital'!F60</f>
        <v>0.45093248345885245</v>
      </c>
      <c r="G41" s="380">
        <f>'2.2.3.9.PrecioCapital'!G60</f>
        <v>0.44464631592622628</v>
      </c>
      <c r="H41" s="380">
        <f>'2.2.3.9.PrecioCapital'!H60</f>
        <v>0.4455161541762051</v>
      </c>
      <c r="I41" s="380">
        <f>'2.2.3.9.PrecioCapital'!I60</f>
        <v>0.40456222508590195</v>
      </c>
      <c r="J41" s="380">
        <f>'2.2.3.9.PrecioCapital'!J60</f>
        <v>0.34889498861702728</v>
      </c>
      <c r="K41" s="381">
        <f>'2.2.3.9.PrecioCapital'!K60</f>
        <v>0.41177321595543032</v>
      </c>
    </row>
    <row r="42" spans="2:11">
      <c r="B42" s="47" t="s">
        <v>102</v>
      </c>
      <c r="C42" s="380">
        <f>'2.2.3.9.PrecioCapital'!C61</f>
        <v>0.23478280655622946</v>
      </c>
      <c r="D42" s="380">
        <f>'2.2.3.9.PrecioCapital'!D61</f>
        <v>0.21866532360914431</v>
      </c>
      <c r="E42" s="380">
        <f>'2.2.3.9.PrecioCapital'!E61</f>
        <v>0.17906632186797727</v>
      </c>
      <c r="F42" s="380">
        <f>'2.2.3.9.PrecioCapital'!F61</f>
        <v>0.16812692536698243</v>
      </c>
      <c r="G42" s="380">
        <f>'2.2.3.9.PrecioCapital'!G61</f>
        <v>0.16178179426202632</v>
      </c>
      <c r="H42" s="380">
        <f>'2.2.3.9.PrecioCapital'!H61</f>
        <v>0.16582585755294574</v>
      </c>
      <c r="I42" s="380">
        <f>'2.2.3.9.PrecioCapital'!I61</f>
        <v>0.12867074295741063</v>
      </c>
      <c r="J42" s="380">
        <f>'2.2.3.9.PrecioCapital'!J61</f>
        <v>5.9225450694556057E-2</v>
      </c>
      <c r="K42" s="381">
        <f>'2.2.3.9.PrecioCapital'!K61</f>
        <v>0.11102431169294524</v>
      </c>
    </row>
    <row r="43" spans="2:11">
      <c r="B43" s="175" t="s">
        <v>223</v>
      </c>
      <c r="C43" s="39"/>
      <c r="D43" s="39"/>
      <c r="E43" s="39"/>
      <c r="F43" s="39"/>
      <c r="G43" s="39"/>
      <c r="H43" s="39"/>
      <c r="I43" s="39"/>
      <c r="J43" s="39"/>
      <c r="K43" s="144"/>
    </row>
    <row r="44" spans="2:11">
      <c r="B44" s="47" t="s">
        <v>85</v>
      </c>
      <c r="C44" s="380">
        <f>'2.2.3.9.PrecioCapital'!C63</f>
        <v>0.2327512568293266</v>
      </c>
      <c r="D44" s="380">
        <f>'2.2.3.9.PrecioCapital'!D63</f>
        <v>0.21666038581395164</v>
      </c>
      <c r="E44" s="380">
        <f>'2.2.3.9.PrecioCapital'!E63</f>
        <v>0.17699667355116749</v>
      </c>
      <c r="F44" s="380">
        <f>'2.2.3.9.PrecioCapital'!F63</f>
        <v>0.16606286215899446</v>
      </c>
      <c r="G44" s="380">
        <f>'2.2.3.9.PrecioCapital'!G63</f>
        <v>0.15971730070697915</v>
      </c>
      <c r="H44" s="380">
        <f>'2.2.3.9.PrecioCapital'!H63</f>
        <v>0.16378453115615771</v>
      </c>
      <c r="I44" s="380">
        <f>'2.2.3.9.PrecioCapital'!I63</f>
        <v>0.12665714230012193</v>
      </c>
      <c r="J44" s="380">
        <f>'2.2.3.9.PrecioCapital'!J63</f>
        <v>5.7111290563705945E-2</v>
      </c>
      <c r="K44" s="381">
        <f>'2.2.3.9.PrecioCapital'!K63</f>
        <v>0.10882928853880613</v>
      </c>
    </row>
    <row r="45" spans="2:11" ht="15" thickBot="1">
      <c r="B45" s="48" t="s">
        <v>86</v>
      </c>
      <c r="C45" s="382">
        <f>'2.2.3.9.PrecioCapital'!C64</f>
        <v>0.32694372800558208</v>
      </c>
      <c r="D45" s="382">
        <f>'2.2.3.9.PrecioCapital'!D64</f>
        <v>0.30961899912428403</v>
      </c>
      <c r="E45" s="382">
        <f>'2.2.3.9.PrecioCapital'!E64</f>
        <v>0.27295557962396838</v>
      </c>
      <c r="F45" s="382">
        <f>'2.2.3.9.PrecioCapital'!F64</f>
        <v>0.26176281557375819</v>
      </c>
      <c r="G45" s="382">
        <f>'2.2.3.9.PrecioCapital'!G64</f>
        <v>0.25543720709283441</v>
      </c>
      <c r="H45" s="382">
        <f>'2.2.3.9.PrecioCapital'!H64</f>
        <v>0.25843029603434392</v>
      </c>
      <c r="I45" s="382">
        <f>'2.2.3.9.PrecioCapital'!I64</f>
        <v>0.22001740779621135</v>
      </c>
      <c r="J45" s="382">
        <f>'2.2.3.9.PrecioCapital'!J64</f>
        <v>0.1551339796222119</v>
      </c>
      <c r="K45" s="383">
        <f>'2.2.3.9.PrecioCapital'!K64</f>
        <v>0.21060117846082552</v>
      </c>
    </row>
    <row r="47" spans="2:11">
      <c r="B47" s="374" t="s">
        <v>251</v>
      </c>
    </row>
    <row r="48" spans="2:11" ht="15" thickBot="1">
      <c r="B48" s="374"/>
    </row>
    <row r="49" spans="2:11">
      <c r="B49" s="173"/>
      <c r="C49" s="125">
        <v>2015</v>
      </c>
      <c r="D49" s="125">
        <v>2016</v>
      </c>
      <c r="E49" s="125">
        <v>2017</v>
      </c>
      <c r="F49" s="125">
        <v>2018</v>
      </c>
      <c r="G49" s="125">
        <v>2019</v>
      </c>
      <c r="H49" s="125">
        <v>2020</v>
      </c>
      <c r="I49" s="125">
        <v>2021</v>
      </c>
      <c r="J49" s="125">
        <v>2022</v>
      </c>
      <c r="K49" s="126">
        <v>2023</v>
      </c>
    </row>
    <row r="50" spans="2:11">
      <c r="B50" s="212" t="s">
        <v>253</v>
      </c>
      <c r="C50" s="50"/>
      <c r="D50" s="50"/>
      <c r="E50" s="50"/>
      <c r="F50" s="50"/>
      <c r="G50" s="50"/>
      <c r="H50" s="50"/>
      <c r="I50" s="50"/>
      <c r="J50" s="50"/>
      <c r="K50" s="375"/>
    </row>
    <row r="51" spans="2:11">
      <c r="B51" s="175"/>
      <c r="K51" s="174"/>
    </row>
    <row r="52" spans="2:11">
      <c r="B52" s="175" t="s">
        <v>57</v>
      </c>
      <c r="K52" s="174"/>
    </row>
    <row r="53" spans="2:11">
      <c r="B53" s="47" t="s">
        <v>58</v>
      </c>
      <c r="C53" s="327">
        <f>'2.2.1. Mano de Obra'!C11</f>
        <v>113395.10062058426</v>
      </c>
      <c r="D53" s="327">
        <f>'2.2.1. Mano de Obra'!D11</f>
        <v>158827.99226179693</v>
      </c>
      <c r="E53" s="327">
        <f>'2.2.1. Mano de Obra'!E11</f>
        <v>210266.77381176566</v>
      </c>
      <c r="F53" s="327">
        <f>'2.2.1. Mano de Obra'!F11</f>
        <v>220894.26235109149</v>
      </c>
      <c r="G53" s="327">
        <f>'2.2.1. Mano de Obra'!G11</f>
        <v>256277.80551749849</v>
      </c>
      <c r="H53" s="327">
        <f>'2.2.1. Mano de Obra'!H11</f>
        <v>221572.85333333327</v>
      </c>
      <c r="I53" s="327">
        <f>'2.2.1. Mano de Obra'!I11</f>
        <v>174736.89999999994</v>
      </c>
      <c r="J53" s="327">
        <f>'2.2.1. Mano de Obra'!J11</f>
        <v>254069.45000000004</v>
      </c>
      <c r="K53" s="328">
        <f>'2.2.1. Mano de Obra'!K11</f>
        <v>284815.73136363633</v>
      </c>
    </row>
    <row r="54" spans="2:11">
      <c r="B54" s="47" t="s">
        <v>59</v>
      </c>
      <c r="C54" s="327">
        <f>'2.2.1. Mano de Obra'!C12</f>
        <v>47390.180548482313</v>
      </c>
      <c r="D54" s="327">
        <f>'2.2.1. Mano de Obra'!D12</f>
        <v>58370.314347598003</v>
      </c>
      <c r="E54" s="327">
        <f>'2.2.1. Mano de Obra'!E12</f>
        <v>64140.518114636398</v>
      </c>
      <c r="F54" s="327">
        <f>'2.2.1. Mano de Obra'!F12</f>
        <v>83679.106316375255</v>
      </c>
      <c r="G54" s="327">
        <f>'2.2.1. Mano de Obra'!G12</f>
        <v>97082.346175947794</v>
      </c>
      <c r="H54" s="327">
        <f>'2.2.1. Mano de Obra'!H12</f>
        <v>85972.48000000001</v>
      </c>
      <c r="I54" s="327">
        <f>'2.2.1. Mano de Obra'!I12</f>
        <v>73134</v>
      </c>
      <c r="J54" s="327">
        <f>'2.2.1. Mano de Obra'!J12</f>
        <v>81335</v>
      </c>
      <c r="K54" s="328">
        <f>'2.2.1. Mano de Obra'!K12</f>
        <v>97637.178181818192</v>
      </c>
    </row>
    <row r="55" spans="2:11">
      <c r="B55" s="47" t="s">
        <v>60</v>
      </c>
      <c r="C55" s="327">
        <f>'2.2.1. Mano de Obra'!C13</f>
        <v>34996.938830933403</v>
      </c>
      <c r="D55" s="327">
        <f>'2.2.1. Mano de Obra'!D13</f>
        <v>47275.943390605098</v>
      </c>
      <c r="E55" s="327">
        <f>'2.2.1. Mano de Obra'!E13</f>
        <v>59728.198629154009</v>
      </c>
      <c r="F55" s="327">
        <f>'2.2.1. Mano de Obra'!F13</f>
        <v>66294.224665866874</v>
      </c>
      <c r="G55" s="327">
        <f>'2.2.1. Mano de Obra'!G13</f>
        <v>76913.281639887369</v>
      </c>
      <c r="H55" s="327">
        <f>'2.2.1. Mano de Obra'!H13</f>
        <v>25151.800000000003</v>
      </c>
      <c r="I55" s="327">
        <f>'2.2.1. Mano de Obra'!I13</f>
        <v>143600.18333333332</v>
      </c>
      <c r="J55" s="327">
        <f>'2.2.1. Mano de Obra'!J13</f>
        <v>223867</v>
      </c>
      <c r="K55" s="328">
        <f>'2.2.1. Mano de Obra'!K13</f>
        <v>206798.10076516084</v>
      </c>
    </row>
    <row r="56" spans="2:11">
      <c r="B56" s="175"/>
      <c r="C56" s="327"/>
      <c r="D56" s="327"/>
      <c r="E56" s="327"/>
      <c r="F56" s="327"/>
      <c r="G56" s="327"/>
      <c r="H56" s="327"/>
      <c r="I56" s="327"/>
      <c r="J56" s="327"/>
      <c r="K56" s="328"/>
    </row>
    <row r="57" spans="2:11">
      <c r="B57" s="212" t="s">
        <v>252</v>
      </c>
      <c r="C57" s="384"/>
      <c r="D57" s="384"/>
      <c r="E57" s="384"/>
      <c r="F57" s="384"/>
      <c r="G57" s="384"/>
      <c r="H57" s="384"/>
      <c r="I57" s="384"/>
      <c r="J57" s="384"/>
      <c r="K57" s="385"/>
    </row>
    <row r="58" spans="2:11">
      <c r="B58" s="175"/>
      <c r="C58" s="327"/>
      <c r="D58" s="327"/>
      <c r="E58" s="327"/>
      <c r="F58" s="327"/>
      <c r="G58" s="327"/>
      <c r="H58" s="327"/>
      <c r="I58" s="327"/>
      <c r="J58" s="327"/>
      <c r="K58" s="328"/>
    </row>
    <row r="59" spans="2:11">
      <c r="B59" s="175" t="s">
        <v>202</v>
      </c>
      <c r="C59" s="327">
        <f>'2.2.2. Prod. Intermedios'!C30</f>
        <v>5513595.3101608362</v>
      </c>
      <c r="D59" s="327">
        <f>'2.2.2. Prod. Intermedios'!D30</f>
        <v>3844779.46548079</v>
      </c>
      <c r="E59" s="327">
        <f>'2.2.2. Prod. Intermedios'!E30</f>
        <v>5217258.1813030681</v>
      </c>
      <c r="F59" s="327">
        <f>'2.2.2. Prod. Intermedios'!F30</f>
        <v>4840172.0833524289</v>
      </c>
      <c r="G59" s="327">
        <f>'2.2.2. Prod. Intermedios'!G30</f>
        <v>5482179.3336012531</v>
      </c>
      <c r="H59" s="327">
        <f>'2.2.2. Prod. Intermedios'!H30</f>
        <v>9216987.7996516302</v>
      </c>
      <c r="I59" s="327">
        <f>'2.2.2. Prod. Intermedios'!I30</f>
        <v>7866405.1867460553</v>
      </c>
      <c r="J59" s="327">
        <f>'2.2.2. Prod. Intermedios'!J30</f>
        <v>13897247.894295618</v>
      </c>
      <c r="K59" s="328">
        <f>'2.2.2. Prod. Intermedios'!K30</f>
        <v>13728473.527491175</v>
      </c>
    </row>
    <row r="60" spans="2:11">
      <c r="B60" s="175"/>
      <c r="C60" s="327"/>
      <c r="D60" s="327"/>
      <c r="E60" s="327"/>
      <c r="F60" s="327"/>
      <c r="G60" s="327"/>
      <c r="H60" s="327"/>
      <c r="I60" s="327"/>
      <c r="J60" s="327"/>
      <c r="K60" s="328"/>
    </row>
    <row r="61" spans="2:11">
      <c r="B61" s="212" t="s">
        <v>254</v>
      </c>
      <c r="C61" s="384"/>
      <c r="D61" s="384"/>
      <c r="E61" s="384"/>
      <c r="F61" s="384"/>
      <c r="G61" s="384"/>
      <c r="H61" s="384"/>
      <c r="I61" s="384"/>
      <c r="J61" s="384"/>
      <c r="K61" s="385"/>
    </row>
    <row r="62" spans="2:11">
      <c r="B62" s="175"/>
      <c r="C62" s="327"/>
      <c r="D62" s="327"/>
      <c r="E62" s="327"/>
      <c r="F62" s="327"/>
      <c r="G62" s="327"/>
      <c r="H62" s="327"/>
      <c r="I62" s="327"/>
      <c r="J62" s="327"/>
      <c r="K62" s="328"/>
    </row>
    <row r="63" spans="2:11">
      <c r="B63" s="175" t="s">
        <v>94</v>
      </c>
      <c r="C63" s="327"/>
      <c r="D63" s="327"/>
      <c r="E63" s="327"/>
      <c r="F63" s="327"/>
      <c r="G63" s="327"/>
      <c r="H63" s="327"/>
      <c r="I63" s="327"/>
      <c r="J63" s="327"/>
      <c r="K63" s="328"/>
    </row>
    <row r="64" spans="2:11">
      <c r="B64" s="47" t="s">
        <v>95</v>
      </c>
      <c r="C64" s="327">
        <f>'2.2.3.7.CantidadCap'!D8</f>
        <v>99546.482427400944</v>
      </c>
      <c r="D64" s="327">
        <f>'2.2.3.7.CantidadCap'!E8</f>
        <v>105285.99145172161</v>
      </c>
      <c r="E64" s="327">
        <f>'2.2.3.7.CantidadCap'!F8</f>
        <v>101769.43110069272</v>
      </c>
      <c r="F64" s="327">
        <f>'2.2.3.7.CantidadCap'!G8</f>
        <v>192307.49349085949</v>
      </c>
      <c r="G64" s="327">
        <f>'2.2.3.7.CantidadCap'!H8</f>
        <v>267286.85998336662</v>
      </c>
      <c r="H64" s="327">
        <f>'2.2.3.7.CantidadCap'!I8</f>
        <v>227412.68748316591</v>
      </c>
      <c r="I64" s="327">
        <f>'2.2.3.7.CantidadCap'!J8</f>
        <v>280493.53798204765</v>
      </c>
      <c r="J64" s="327">
        <f>'2.2.3.7.CantidadCap'!K8</f>
        <v>297016.82615707349</v>
      </c>
      <c r="K64" s="328">
        <f>'2.2.3.7.CantidadCap'!L8</f>
        <v>297099.21082161146</v>
      </c>
    </row>
    <row r="65" spans="2:11">
      <c r="B65" s="47" t="s">
        <v>96</v>
      </c>
      <c r="C65" s="327">
        <f>'2.2.3.7.CantidadCap'!D9</f>
        <v>707253.27503659658</v>
      </c>
      <c r="D65" s="327">
        <f>'2.2.3.7.CantidadCap'!E9</f>
        <v>2351280.7113221679</v>
      </c>
      <c r="E65" s="327">
        <f>'2.2.3.7.CantidadCap'!F9</f>
        <v>1986341.4432417366</v>
      </c>
      <c r="F65" s="327">
        <f>'2.2.3.7.CantidadCap'!G9</f>
        <v>726119.03370578948</v>
      </c>
      <c r="G65" s="327">
        <f>'2.2.3.7.CantidadCap'!H9</f>
        <v>606864.69398877968</v>
      </c>
      <c r="H65" s="327">
        <f>'2.2.3.7.CantidadCap'!I9</f>
        <v>328230.38390354486</v>
      </c>
      <c r="I65" s="327">
        <f>'2.2.3.7.CantidadCap'!J9</f>
        <v>371717.80895776575</v>
      </c>
      <c r="J65" s="327">
        <f>'2.2.3.7.CantidadCap'!K9</f>
        <v>628564.07179008261</v>
      </c>
      <c r="K65" s="328">
        <f>'2.2.3.7.CantidadCap'!L9</f>
        <v>656414.85710943944</v>
      </c>
    </row>
    <row r="66" spans="2:11">
      <c r="B66" s="47" t="s">
        <v>97</v>
      </c>
      <c r="C66" s="327">
        <f>'2.2.3.7.CantidadCap'!D10</f>
        <v>70824.501740192121</v>
      </c>
      <c r="D66" s="327">
        <f>'2.2.3.7.CantidadCap'!E10</f>
        <v>105176.11568142314</v>
      </c>
      <c r="E66" s="327">
        <f>'2.2.3.7.CantidadCap'!F10</f>
        <v>95456.166362791962</v>
      </c>
      <c r="F66" s="327">
        <f>'2.2.3.7.CantidadCap'!G10</f>
        <v>140815.83961489488</v>
      </c>
      <c r="G66" s="327">
        <f>'2.2.3.7.CantidadCap'!H10</f>
        <v>187202.99294357229</v>
      </c>
      <c r="H66" s="327">
        <f>'2.2.3.7.CantidadCap'!I10</f>
        <v>155671.69649883767</v>
      </c>
      <c r="I66" s="327">
        <f>'2.2.3.7.CantidadCap'!J10</f>
        <v>108926.80806929985</v>
      </c>
      <c r="J66" s="327">
        <f>'2.2.3.7.CantidadCap'!K10</f>
        <v>81819.407058086537</v>
      </c>
      <c r="K66" s="328">
        <f>'2.2.3.7.CantidadCap'!L10</f>
        <v>59090.042586157251</v>
      </c>
    </row>
    <row r="67" spans="2:11">
      <c r="B67" s="47" t="s">
        <v>98</v>
      </c>
      <c r="C67" s="327">
        <f>'2.2.3.7.CantidadCap'!D11</f>
        <v>56581.234841499849</v>
      </c>
      <c r="D67" s="327">
        <f>'2.2.3.7.CantidadCap'!E11</f>
        <v>93214.657798492932</v>
      </c>
      <c r="E67" s="327">
        <f>'2.2.3.7.CantidadCap'!F11</f>
        <v>92812.60572374292</v>
      </c>
      <c r="F67" s="327">
        <f>'2.2.3.7.CantidadCap'!G11</f>
        <v>105446.07710646192</v>
      </c>
      <c r="G67" s="327">
        <f>'2.2.3.7.CantidadCap'!H11</f>
        <v>125840.78029274491</v>
      </c>
      <c r="H67" s="327">
        <f>'2.2.3.7.CantidadCap'!I11</f>
        <v>126495.34086841272</v>
      </c>
      <c r="I67" s="327">
        <f>'2.2.3.7.CantidadCap'!J11</f>
        <v>114330.15592781545</v>
      </c>
      <c r="J67" s="327">
        <f>'2.2.3.7.CantidadCap'!K11</f>
        <v>100097.35623712958</v>
      </c>
      <c r="K67" s="328">
        <f>'2.2.3.7.CantidadCap'!L11</f>
        <v>80888.065632882615</v>
      </c>
    </row>
    <row r="68" spans="2:11">
      <c r="B68" s="47" t="s">
        <v>99</v>
      </c>
      <c r="C68" s="327">
        <f>'2.2.3.7.CantidadCap'!D12</f>
        <v>90988.707612505197</v>
      </c>
      <c r="D68" s="327">
        <f>'2.2.3.7.CantidadCap'!E12</f>
        <v>216379.86418692925</v>
      </c>
      <c r="E68" s="327">
        <f>'2.2.3.7.CantidadCap'!F12</f>
        <v>343671.37006036495</v>
      </c>
      <c r="F68" s="327">
        <f>'2.2.3.7.CantidadCap'!G12</f>
        <v>415983.6420385908</v>
      </c>
      <c r="G68" s="327">
        <f>'2.2.3.7.CantidadCap'!H12</f>
        <v>496596.36560057034</v>
      </c>
      <c r="H68" s="327">
        <f>'2.2.3.7.CantidadCap'!I12</f>
        <v>597681.1867080736</v>
      </c>
      <c r="I68" s="327">
        <f>'2.2.3.7.CantidadCap'!J12</f>
        <v>562537.49429224886</v>
      </c>
      <c r="J68" s="327">
        <f>'2.2.3.7.CantidadCap'!K12</f>
        <v>432856.84924694838</v>
      </c>
      <c r="K68" s="328">
        <f>'2.2.3.7.CantidadCap'!L12</f>
        <v>407310.55293204571</v>
      </c>
    </row>
    <row r="69" spans="2:11">
      <c r="B69" s="47" t="s">
        <v>100</v>
      </c>
      <c r="C69" s="327">
        <f>'2.2.3.7.CantidadCap'!D13</f>
        <v>33334.057938373546</v>
      </c>
      <c r="D69" s="327">
        <f>'2.2.3.7.CantidadCap'!E13</f>
        <v>60482.612041504559</v>
      </c>
      <c r="E69" s="327">
        <f>'2.2.3.7.CantidadCap'!F13</f>
        <v>89588.943078041935</v>
      </c>
      <c r="F69" s="327">
        <f>'2.2.3.7.CantidadCap'!G13</f>
        <v>93465.025875956213</v>
      </c>
      <c r="G69" s="327">
        <f>'2.2.3.7.CantidadCap'!H13</f>
        <v>69161.935345408638</v>
      </c>
      <c r="H69" s="327">
        <f>'2.2.3.7.CantidadCap'!I13</f>
        <v>46990.466693987561</v>
      </c>
      <c r="I69" s="327">
        <f>'2.2.3.7.CantidadCap'!J13</f>
        <v>28548.146125946027</v>
      </c>
      <c r="J69" s="327">
        <f>'2.2.3.7.CantidadCap'!K13</f>
        <v>24396.158054322314</v>
      </c>
      <c r="K69" s="328">
        <f>'2.2.3.7.CantidadCap'!L13</f>
        <v>23959.906602386109</v>
      </c>
    </row>
    <row r="70" spans="2:11">
      <c r="B70" s="175" t="s">
        <v>222</v>
      </c>
      <c r="C70" s="327"/>
      <c r="D70" s="327"/>
      <c r="E70" s="327"/>
      <c r="F70" s="327"/>
      <c r="G70" s="327"/>
      <c r="H70" s="327"/>
      <c r="I70" s="327"/>
      <c r="J70" s="327"/>
      <c r="K70" s="328"/>
    </row>
    <row r="71" spans="2:11">
      <c r="B71" s="47" t="s">
        <v>101</v>
      </c>
      <c r="C71" s="327">
        <f>'2.2.3.7.CantidadCap'!D15</f>
        <v>15951.78138328567</v>
      </c>
      <c r="D71" s="327">
        <f>'2.2.3.7.CantidadCap'!E15</f>
        <v>28654.841221385657</v>
      </c>
      <c r="E71" s="327">
        <f>'2.2.3.7.CantidadCap'!F15</f>
        <v>44766.542257041554</v>
      </c>
      <c r="F71" s="327">
        <f>'2.2.3.7.CantidadCap'!G15</f>
        <v>36324.275573067731</v>
      </c>
      <c r="G71" s="327">
        <f>'2.2.3.7.CantidadCap'!H15</f>
        <v>14040.129614145237</v>
      </c>
      <c r="H71" s="327">
        <f>'2.2.3.7.CantidadCap'!I15</f>
        <v>22003.236793033553</v>
      </c>
      <c r="I71" s="327">
        <f>'2.2.3.7.CantidadCap'!J15</f>
        <v>23253.407286402537</v>
      </c>
      <c r="J71" s="327">
        <f>'2.2.3.7.CantidadCap'!K15</f>
        <v>31885.441114465859</v>
      </c>
      <c r="K71" s="328">
        <f>'2.2.3.7.CantidadCap'!L15</f>
        <v>28735.297373270609</v>
      </c>
    </row>
    <row r="72" spans="2:11">
      <c r="B72" s="47" t="s">
        <v>102</v>
      </c>
      <c r="C72" s="327">
        <f>'2.2.3.7.CantidadCap'!D16</f>
        <v>1169204.618794075</v>
      </c>
      <c r="D72" s="327">
        <f>'2.2.3.7.CantidadCap'!E16</f>
        <v>1163896.6491991815</v>
      </c>
      <c r="E72" s="327">
        <f>'2.2.3.7.CantidadCap'!F16</f>
        <v>2576617.0255808914</v>
      </c>
      <c r="F72" s="327">
        <f>'2.2.3.7.CantidadCap'!G16</f>
        <v>4257009.8476420688</v>
      </c>
      <c r="G72" s="327">
        <f>'2.2.3.7.CantidadCap'!H16</f>
        <v>36683646.7823136</v>
      </c>
      <c r="H72" s="327">
        <f>'2.2.3.7.CantidadCap'!I16</f>
        <v>132023435.28723383</v>
      </c>
      <c r="I72" s="327">
        <f>'2.2.3.7.CantidadCap'!J16</f>
        <v>198167190.56223124</v>
      </c>
      <c r="J72" s="327">
        <f>'2.2.3.7.CantidadCap'!K16</f>
        <v>192118478.52618074</v>
      </c>
      <c r="K72" s="328">
        <f>'2.2.3.7.CantidadCap'!L16</f>
        <v>177815063.99017555</v>
      </c>
    </row>
    <row r="73" spans="2:11">
      <c r="B73" s="175" t="s">
        <v>223</v>
      </c>
      <c r="C73" s="327"/>
      <c r="D73" s="327"/>
      <c r="E73" s="327"/>
      <c r="F73" s="327"/>
      <c r="G73" s="327"/>
      <c r="H73" s="327"/>
      <c r="I73" s="327"/>
      <c r="J73" s="327"/>
      <c r="K73" s="328"/>
    </row>
    <row r="74" spans="2:11">
      <c r="B74" s="47" t="s">
        <v>85</v>
      </c>
      <c r="C74" s="327">
        <f>'2.2.3.7.CantidadCap'!D18</f>
        <v>16901839.735050831</v>
      </c>
      <c r="D74" s="327">
        <f>'2.2.3.7.CantidadCap'!E18</f>
        <v>16720910.189216422</v>
      </c>
      <c r="E74" s="327">
        <f>'2.2.3.7.CantidadCap'!F18</f>
        <v>16157501.537959114</v>
      </c>
      <c r="F74" s="327">
        <f>'2.2.3.7.CantidadCap'!G18</f>
        <v>15505609.252361182</v>
      </c>
      <c r="G74" s="327">
        <f>'2.2.3.7.CantidadCap'!H18</f>
        <v>14939505.363352917</v>
      </c>
      <c r="H74" s="327">
        <f>'2.2.3.7.CantidadCap'!I18</f>
        <v>14431896.421796486</v>
      </c>
      <c r="I74" s="327">
        <f>'2.2.3.7.CantidadCap'!J18</f>
        <v>14016363.151664617</v>
      </c>
      <c r="J74" s="327">
        <f>'2.2.3.7.CantidadCap'!K18</f>
        <v>13199402.797687912</v>
      </c>
      <c r="K74" s="328">
        <f>'2.2.3.7.CantidadCap'!L18</f>
        <v>12077563.851358168</v>
      </c>
    </row>
    <row r="75" spans="2:11" ht="15" thickBot="1">
      <c r="B75" s="48" t="s">
        <v>86</v>
      </c>
      <c r="C75" s="329">
        <f>'2.2.3.7.CantidadCap'!D19</f>
        <v>0</v>
      </c>
      <c r="D75" s="329">
        <f>'2.2.3.7.CantidadCap'!E19</f>
        <v>0</v>
      </c>
      <c r="E75" s="329">
        <f>'2.2.3.7.CantidadCap'!F19</f>
        <v>0</v>
      </c>
      <c r="F75" s="329">
        <f>'2.2.3.7.CantidadCap'!G19</f>
        <v>0</v>
      </c>
      <c r="G75" s="329">
        <f>'2.2.3.7.CantidadCap'!H19</f>
        <v>0</v>
      </c>
      <c r="H75" s="329">
        <f>'2.2.3.7.CantidadCap'!I19</f>
        <v>0</v>
      </c>
      <c r="I75" s="329">
        <f>'2.2.3.7.CantidadCap'!J19</f>
        <v>0</v>
      </c>
      <c r="J75" s="329">
        <f>'2.2.3.7.CantidadCap'!K19</f>
        <v>0</v>
      </c>
      <c r="K75" s="330">
        <f>'2.2.3.7.CantidadCap'!L19</f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56AD6-C018-4D92-A39C-AE373BB501D9}">
  <sheetPr>
    <tabColor theme="8" tint="-0.249977111117893"/>
  </sheetPr>
  <dimension ref="B4:K39"/>
  <sheetViews>
    <sheetView showGridLines="0" zoomScale="90" zoomScaleNormal="90" workbookViewId="0">
      <selection activeCell="E29" sqref="E29"/>
    </sheetView>
  </sheetViews>
  <sheetFormatPr baseColWidth="10" defaultColWidth="11.453125" defaultRowHeight="14.5"/>
  <cols>
    <col min="1" max="1" width="11.453125" style="3"/>
    <col min="2" max="2" width="46.1796875" style="3" bestFit="1" customWidth="1"/>
    <col min="3" max="16384" width="11.453125" style="3"/>
  </cols>
  <sheetData>
    <row r="4" spans="2:11">
      <c r="B4" s="2" t="s">
        <v>65</v>
      </c>
    </row>
    <row r="8" spans="2:11">
      <c r="B8" s="46" t="s">
        <v>56</v>
      </c>
    </row>
    <row r="9" spans="2:11" ht="15" thickBot="1"/>
    <row r="10" spans="2:11">
      <c r="B10" s="124" t="s">
        <v>57</v>
      </c>
      <c r="C10" s="125">
        <v>2015</v>
      </c>
      <c r="D10" s="125">
        <v>2016</v>
      </c>
      <c r="E10" s="125">
        <v>2017</v>
      </c>
      <c r="F10" s="125">
        <v>2018</v>
      </c>
      <c r="G10" s="125">
        <v>2019</v>
      </c>
      <c r="H10" s="125">
        <v>2020</v>
      </c>
      <c r="I10" s="125">
        <v>2021</v>
      </c>
      <c r="J10" s="125">
        <v>2022</v>
      </c>
      <c r="K10" s="126">
        <v>2023</v>
      </c>
    </row>
    <row r="11" spans="2:11">
      <c r="B11" s="47" t="s">
        <v>58</v>
      </c>
      <c r="C11" s="51">
        <v>113395.10062058426</v>
      </c>
      <c r="D11" s="51">
        <v>158827.99226179693</v>
      </c>
      <c r="E11" s="51">
        <v>210266.77381176566</v>
      </c>
      <c r="F11" s="51">
        <v>220894.26235109149</v>
      </c>
      <c r="G11" s="51">
        <v>256277.80551749849</v>
      </c>
      <c r="H11" s="51">
        <v>221572.85333333327</v>
      </c>
      <c r="I11" s="51">
        <v>174736.89999999994</v>
      </c>
      <c r="J11" s="51">
        <v>254069.45000000004</v>
      </c>
      <c r="K11" s="52">
        <v>284815.73136363633</v>
      </c>
    </row>
    <row r="12" spans="2:11">
      <c r="B12" s="47" t="s">
        <v>59</v>
      </c>
      <c r="C12" s="53">
        <v>47390.180548482313</v>
      </c>
      <c r="D12" s="53">
        <v>58370.314347598003</v>
      </c>
      <c r="E12" s="53">
        <v>64140.518114636398</v>
      </c>
      <c r="F12" s="53">
        <v>83679.106316375255</v>
      </c>
      <c r="G12" s="53">
        <v>97082.346175947794</v>
      </c>
      <c r="H12" s="53">
        <v>85972.48000000001</v>
      </c>
      <c r="I12" s="53">
        <v>73134</v>
      </c>
      <c r="J12" s="53">
        <v>81335</v>
      </c>
      <c r="K12" s="54">
        <v>97637.178181818192</v>
      </c>
    </row>
    <row r="13" spans="2:11" ht="15" thickBot="1">
      <c r="B13" s="48" t="s">
        <v>60</v>
      </c>
      <c r="C13" s="55">
        <v>34996.938830933403</v>
      </c>
      <c r="D13" s="55">
        <v>47275.943390605098</v>
      </c>
      <c r="E13" s="55">
        <v>59728.198629154009</v>
      </c>
      <c r="F13" s="55">
        <v>66294.224665866874</v>
      </c>
      <c r="G13" s="55">
        <v>76913.281639887369</v>
      </c>
      <c r="H13" s="55">
        <v>25151.800000000003</v>
      </c>
      <c r="I13" s="55">
        <v>143600.18333333332</v>
      </c>
      <c r="J13" s="55">
        <v>223867</v>
      </c>
      <c r="K13" s="56">
        <v>206798.10076516084</v>
      </c>
    </row>
    <row r="14" spans="2:11" ht="6" customHeight="1" thickBot="1">
      <c r="C14" s="49"/>
      <c r="D14" s="49"/>
      <c r="E14" s="49"/>
      <c r="F14" s="49"/>
      <c r="G14" s="49"/>
      <c r="H14" s="49"/>
      <c r="I14" s="49"/>
      <c r="J14" s="49"/>
      <c r="K14" s="49"/>
    </row>
    <row r="15" spans="2:11" ht="15" thickBot="1">
      <c r="B15" s="63" t="s">
        <v>62</v>
      </c>
      <c r="C15" s="64">
        <f t="shared" ref="C15:K15" si="0">SUM(C11:C13)</f>
        <v>195782.21999999997</v>
      </c>
      <c r="D15" s="64">
        <f t="shared" si="0"/>
        <v>264474.25</v>
      </c>
      <c r="E15" s="64">
        <f t="shared" si="0"/>
        <v>334135.49055555608</v>
      </c>
      <c r="F15" s="64">
        <f t="shared" si="0"/>
        <v>370867.59333333361</v>
      </c>
      <c r="G15" s="64">
        <f t="shared" si="0"/>
        <v>430273.43333333364</v>
      </c>
      <c r="H15" s="64">
        <f t="shared" si="0"/>
        <v>332697.13333333324</v>
      </c>
      <c r="I15" s="64">
        <f t="shared" si="0"/>
        <v>391471.08333333326</v>
      </c>
      <c r="J15" s="64">
        <f t="shared" si="0"/>
        <v>559271.45000000007</v>
      </c>
      <c r="K15" s="65">
        <f t="shared" si="0"/>
        <v>589251.01031061541</v>
      </c>
    </row>
    <row r="17" spans="2:11">
      <c r="B17" s="50" t="s">
        <v>61</v>
      </c>
    </row>
    <row r="18" spans="2:11" ht="15" thickBot="1"/>
    <row r="19" spans="2:11">
      <c r="B19" s="124" t="s">
        <v>57</v>
      </c>
      <c r="C19" s="125">
        <v>2015</v>
      </c>
      <c r="D19" s="125">
        <v>2016</v>
      </c>
      <c r="E19" s="125">
        <v>2017</v>
      </c>
      <c r="F19" s="125">
        <v>2018</v>
      </c>
      <c r="G19" s="125">
        <v>2019</v>
      </c>
      <c r="H19" s="125">
        <v>2020</v>
      </c>
      <c r="I19" s="125">
        <v>2021</v>
      </c>
      <c r="J19" s="125">
        <v>2022</v>
      </c>
      <c r="K19" s="126">
        <v>2023</v>
      </c>
    </row>
    <row r="20" spans="2:11">
      <c r="B20" s="47" t="s">
        <v>58</v>
      </c>
      <c r="C20" s="51">
        <v>524901.7774932622</v>
      </c>
      <c r="D20" s="51">
        <v>1016620.2443056857</v>
      </c>
      <c r="E20" s="51">
        <v>1303735.9663730101</v>
      </c>
      <c r="F20" s="51">
        <v>1199656.1556722401</v>
      </c>
      <c r="G20" s="51">
        <v>1608484.3195398368</v>
      </c>
      <c r="H20" s="51">
        <v>1566948.8493075159</v>
      </c>
      <c r="I20" s="51">
        <v>1510652.0312966772</v>
      </c>
      <c r="J20" s="51">
        <v>1919435.1475846299</v>
      </c>
      <c r="K20" s="52">
        <v>2478413.4333333378</v>
      </c>
    </row>
    <row r="21" spans="2:11">
      <c r="B21" s="47" t="s">
        <v>59</v>
      </c>
      <c r="C21" s="53">
        <v>598640.4433782117</v>
      </c>
      <c r="D21" s="53">
        <v>1284707.9910010099</v>
      </c>
      <c r="E21" s="53">
        <v>1359923.99684744</v>
      </c>
      <c r="F21" s="53">
        <v>1748424.6829002299</v>
      </c>
      <c r="G21" s="53">
        <v>2078287.82688035</v>
      </c>
      <c r="H21" s="53">
        <v>1788394.8277440299</v>
      </c>
      <c r="I21" s="53">
        <v>1705744.22881578</v>
      </c>
      <c r="J21" s="53">
        <v>2181853.15971911</v>
      </c>
      <c r="K21" s="54">
        <v>1732194.7615384201</v>
      </c>
    </row>
    <row r="22" spans="2:11" ht="15" thickBot="1">
      <c r="B22" s="48" t="s">
        <v>60</v>
      </c>
      <c r="C22" s="55">
        <v>1105526.9521610176</v>
      </c>
      <c r="D22" s="55">
        <v>759289.9922743981</v>
      </c>
      <c r="E22" s="55">
        <v>939532.572721267</v>
      </c>
      <c r="F22" s="55">
        <v>874564.319014373</v>
      </c>
      <c r="G22" s="55">
        <v>915407.73265130527</v>
      </c>
      <c r="H22" s="55">
        <v>644487.17468315968</v>
      </c>
      <c r="I22" s="55">
        <v>987761.55754094641</v>
      </c>
      <c r="J22" s="55">
        <v>1821636.6350068599</v>
      </c>
      <c r="K22" s="56">
        <v>1807757.0025641045</v>
      </c>
    </row>
    <row r="23" spans="2:11" ht="6" customHeight="1" thickBot="1">
      <c r="C23" s="49"/>
      <c r="D23" s="49"/>
      <c r="E23" s="49"/>
      <c r="F23" s="49"/>
      <c r="G23" s="49"/>
      <c r="H23" s="49"/>
      <c r="I23" s="49"/>
      <c r="J23" s="49"/>
      <c r="K23" s="49"/>
    </row>
    <row r="24" spans="2:11" ht="15" thickBot="1">
      <c r="B24" s="63" t="s">
        <v>63</v>
      </c>
      <c r="C24" s="64">
        <f t="shared" ref="C24:K24" si="1">SUM(C20:C22)</f>
        <v>2229069.1730324915</v>
      </c>
      <c r="D24" s="64">
        <f t="shared" si="1"/>
        <v>3060618.2275810936</v>
      </c>
      <c r="E24" s="64">
        <f t="shared" si="1"/>
        <v>3603192.5359417172</v>
      </c>
      <c r="F24" s="64">
        <f t="shared" si="1"/>
        <v>3822645.1575868428</v>
      </c>
      <c r="G24" s="64">
        <f t="shared" si="1"/>
        <v>4602179.8790714918</v>
      </c>
      <c r="H24" s="64">
        <f t="shared" si="1"/>
        <v>3999830.8517347057</v>
      </c>
      <c r="I24" s="64">
        <f t="shared" si="1"/>
        <v>4204157.8176534036</v>
      </c>
      <c r="J24" s="64">
        <f t="shared" si="1"/>
        <v>5922924.9423105996</v>
      </c>
      <c r="K24" s="65">
        <f t="shared" si="1"/>
        <v>6018365.1974358624</v>
      </c>
    </row>
    <row r="26" spans="2:11">
      <c r="B26" s="50" t="s">
        <v>80</v>
      </c>
    </row>
    <row r="27" spans="2:11" ht="15" thickBot="1"/>
    <row r="28" spans="2:11">
      <c r="B28" s="124" t="s">
        <v>57</v>
      </c>
      <c r="C28" s="125">
        <v>2015</v>
      </c>
      <c r="D28" s="125">
        <v>2016</v>
      </c>
      <c r="E28" s="125">
        <v>2017</v>
      </c>
      <c r="F28" s="125">
        <v>2018</v>
      </c>
      <c r="G28" s="125">
        <v>2019</v>
      </c>
      <c r="H28" s="125">
        <v>2020</v>
      </c>
      <c r="I28" s="125">
        <v>2021</v>
      </c>
      <c r="J28" s="125">
        <v>2022</v>
      </c>
      <c r="K28" s="126">
        <v>2023</v>
      </c>
    </row>
    <row r="29" spans="2:11">
      <c r="B29" s="47" t="s">
        <v>58</v>
      </c>
      <c r="C29" s="57">
        <f t="shared" ref="C29:K29" si="2">+C20/C11</f>
        <v>4.6289634615658031</v>
      </c>
      <c r="D29" s="57">
        <f t="shared" si="2"/>
        <v>6.400762421210902</v>
      </c>
      <c r="E29" s="57">
        <f t="shared" si="2"/>
        <v>6.2003898321098339</v>
      </c>
      <c r="F29" s="57">
        <f t="shared" si="2"/>
        <v>5.4309068189625265</v>
      </c>
      <c r="G29" s="57">
        <f t="shared" si="2"/>
        <v>6.2763309381857901</v>
      </c>
      <c r="H29" s="57">
        <f t="shared" si="2"/>
        <v>7.0719351478955979</v>
      </c>
      <c r="I29" s="57">
        <f t="shared" si="2"/>
        <v>8.6452949050640004</v>
      </c>
      <c r="J29" s="57">
        <f t="shared" si="2"/>
        <v>7.554765626424703</v>
      </c>
      <c r="K29" s="58">
        <f t="shared" si="2"/>
        <v>8.7018137006240082</v>
      </c>
    </row>
    <row r="30" spans="2:11">
      <c r="B30" s="47" t="s">
        <v>59</v>
      </c>
      <c r="C30" s="59">
        <f t="shared" ref="C30:K30" si="3">+C21/C12</f>
        <v>12.632162115647043</v>
      </c>
      <c r="D30" s="59">
        <f t="shared" si="3"/>
        <v>22.009612340795574</v>
      </c>
      <c r="E30" s="59">
        <f t="shared" si="3"/>
        <v>21.202260861330885</v>
      </c>
      <c r="F30" s="59">
        <f t="shared" si="3"/>
        <v>20.894399568391169</v>
      </c>
      <c r="G30" s="59">
        <f t="shared" si="3"/>
        <v>21.407474260188891</v>
      </c>
      <c r="H30" s="59">
        <f t="shared" si="3"/>
        <v>20.801945317199525</v>
      </c>
      <c r="I30" s="59">
        <f t="shared" si="3"/>
        <v>23.323546214015096</v>
      </c>
      <c r="J30" s="59">
        <f t="shared" si="3"/>
        <v>26.825513736019058</v>
      </c>
      <c r="K30" s="60">
        <f t="shared" si="3"/>
        <v>17.741139121337145</v>
      </c>
    </row>
    <row r="31" spans="2:11" ht="15" thickBot="1">
      <c r="B31" s="48" t="s">
        <v>60</v>
      </c>
      <c r="C31" s="61">
        <f t="shared" ref="C31:K31" si="4">+C22/C13</f>
        <v>31.589247205354276</v>
      </c>
      <c r="D31" s="61">
        <f t="shared" si="4"/>
        <v>16.060811013351199</v>
      </c>
      <c r="E31" s="61">
        <f t="shared" si="4"/>
        <v>15.730134078791229</v>
      </c>
      <c r="F31" s="61">
        <f t="shared" si="4"/>
        <v>13.19216452748806</v>
      </c>
      <c r="G31" s="61">
        <f t="shared" si="4"/>
        <v>11.901816086034394</v>
      </c>
      <c r="H31" s="61">
        <f t="shared" si="4"/>
        <v>25.62389867457437</v>
      </c>
      <c r="I31" s="61">
        <f t="shared" si="4"/>
        <v>6.8785535966071523</v>
      </c>
      <c r="J31" s="61">
        <f t="shared" si="4"/>
        <v>8.1371378318682961</v>
      </c>
      <c r="K31" s="62">
        <f t="shared" si="4"/>
        <v>8.7416518617692081</v>
      </c>
    </row>
    <row r="32" spans="2:11" ht="6" customHeight="1" thickBot="1">
      <c r="C32" s="49"/>
      <c r="D32" s="49"/>
      <c r="E32" s="49"/>
      <c r="F32" s="49"/>
      <c r="G32" s="49"/>
      <c r="H32" s="49"/>
      <c r="I32" s="49"/>
      <c r="J32" s="49"/>
      <c r="K32" s="49"/>
    </row>
    <row r="33" spans="2:11" ht="15" thickBot="1">
      <c r="B33" s="63" t="s">
        <v>64</v>
      </c>
      <c r="C33" s="66">
        <f t="shared" ref="C33:K33" si="5">+C24/C15</f>
        <v>11.385452535130574</v>
      </c>
      <c r="D33" s="66">
        <f t="shared" si="5"/>
        <v>11.572462073646465</v>
      </c>
      <c r="E33" s="66">
        <f t="shared" si="5"/>
        <v>10.783627114709688</v>
      </c>
      <c r="F33" s="66">
        <f t="shared" si="5"/>
        <v>10.307304348781619</v>
      </c>
      <c r="G33" s="66">
        <f t="shared" si="5"/>
        <v>10.695942446221574</v>
      </c>
      <c r="H33" s="66">
        <f t="shared" si="5"/>
        <v>12.022438581480735</v>
      </c>
      <c r="I33" s="66">
        <f t="shared" si="5"/>
        <v>10.73938279643917</v>
      </c>
      <c r="J33" s="66">
        <f t="shared" si="5"/>
        <v>10.590429642547637</v>
      </c>
      <c r="K33" s="67">
        <f t="shared" si="5"/>
        <v>10.213584859639639</v>
      </c>
    </row>
    <row r="36" spans="2:11">
      <c r="C36" s="373"/>
    </row>
    <row r="37" spans="2:11">
      <c r="C37" s="373"/>
    </row>
    <row r="38" spans="2:11">
      <c r="C38" s="373"/>
    </row>
    <row r="39" spans="2:11">
      <c r="C39" s="1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21f1ca-c148-45f6-830e-af0951b19225">
      <Terms xmlns="http://schemas.microsoft.com/office/infopath/2007/PartnerControls"/>
    </lcf76f155ced4ddcb4097134ff3c332f>
    <TaxCatchAll xmlns="3d96042f-c47c-4d0a-a1b4-43719464909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AA359677C3DC4E924C19A1FC8CD1A5" ma:contentTypeVersion="18" ma:contentTypeDescription="Crear nuevo documento." ma:contentTypeScope="" ma:versionID="084e920612e4d8d5f6df5cf558c5fc0b">
  <xsd:schema xmlns:xsd="http://www.w3.org/2001/XMLSchema" xmlns:xs="http://www.w3.org/2001/XMLSchema" xmlns:p="http://schemas.microsoft.com/office/2006/metadata/properties" xmlns:ns2="4a21f1ca-c148-45f6-830e-af0951b19225" xmlns:ns3="3d96042f-c47c-4d0a-a1b4-437194649097" targetNamespace="http://schemas.microsoft.com/office/2006/metadata/properties" ma:root="true" ma:fieldsID="0ca7c48c886ae66f8707d2e0584c5e20" ns2:_="" ns3:_="">
    <xsd:import namespace="4a21f1ca-c148-45f6-830e-af0951b19225"/>
    <xsd:import namespace="3d96042f-c47c-4d0a-a1b4-4371946490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1f1ca-c148-45f6-830e-af0951b1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ec5936b-1666-4dab-9ec4-609878d419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6042f-c47c-4d0a-a1b4-43719464909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5fc9730-f847-4716-bb8f-235d02ba4267}" ma:internalName="TaxCatchAll" ma:showField="CatchAllData" ma:web="3d96042f-c47c-4d0a-a1b4-4371946490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6287FD-A832-47B7-BD06-4AE05D5BF4E3}">
  <ds:schemaRefs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3d96042f-c47c-4d0a-a1b4-437194649097"/>
    <ds:schemaRef ds:uri="4a21f1ca-c148-45f6-830e-af0951b1922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F58506C-17C2-4052-8458-4F66E1EA45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63B0B4-E175-4675-A5D1-5A150AB610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1f1ca-c148-45f6-830e-af0951b19225"/>
    <ds:schemaRef ds:uri="3d96042f-c47c-4d0a-a1b4-4371946490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1. Factor X</vt:lpstr>
      <vt:lpstr>Factor Q</vt:lpstr>
      <vt:lpstr>2.PTFEmpresa</vt:lpstr>
      <vt:lpstr>2.1.ÍndCantProd</vt:lpstr>
      <vt:lpstr>2.1.1. Ingresos Serv.</vt:lpstr>
      <vt:lpstr>2.1.2. Cantidades Serv.</vt:lpstr>
      <vt:lpstr>2.1.3.Precios Serv.</vt:lpstr>
      <vt:lpstr>2.2.ÍndCantInsum</vt:lpstr>
      <vt:lpstr>2.2.1. Mano de Obra</vt:lpstr>
      <vt:lpstr>2.2.2. Prod. Intermedios</vt:lpstr>
      <vt:lpstr>2.2.3.1.Tasas Deprec</vt:lpstr>
      <vt:lpstr>2.2.3.2.Inv-Depr-Ajus</vt:lpstr>
      <vt:lpstr>2.2.3.3.Stock-Cap-Sin-Act.Ini</vt:lpstr>
      <vt:lpstr>2.2.3.4. Activos Iniciales</vt:lpstr>
      <vt:lpstr>2.2.3.5.StockCapTotal</vt:lpstr>
      <vt:lpstr>2.2.3.6.StockCapTotalDef</vt:lpstr>
      <vt:lpstr>2.2.3.7.CantidadCap</vt:lpstr>
      <vt:lpstr>2.2.3.8.WACC</vt:lpstr>
      <vt:lpstr>2.2.3.9.PrecioCapital</vt:lpstr>
      <vt:lpstr>3.ÍndPrecioInsumEmp</vt:lpstr>
      <vt:lpstr>4.PTF Economía</vt:lpstr>
      <vt:lpstr>5.Insumos Economía</vt:lpstr>
      <vt:lpstr>6.1.IPM</vt:lpstr>
      <vt:lpstr>6.2.IPC</vt:lpstr>
      <vt:lpstr>6.3.IPME</vt:lpstr>
      <vt:lpstr>6.4 Tasa Impuestos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Jeanpaul Zúñiga</dc:creator>
  <cp:lastModifiedBy>Roberto Alexis Cabanillas Buendia</cp:lastModifiedBy>
  <dcterms:created xsi:type="dcterms:W3CDTF">2015-06-05T18:19:34Z</dcterms:created>
  <dcterms:modified xsi:type="dcterms:W3CDTF">2024-07-01T16:54:02Z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0x01010076AA359677C3DC4E924C19A1FC8CD1A5</vt:lpwstr>
  </property>
  <property fmtid="{D5CDD505-2E9C-101B-9397-08002B2CF9AE}" pid="3" name="MediaServiceImageTags">
    <vt:lpwstr/>
  </property>
</Properties>
</file>