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pozo.OSITRANORG\Documents\APOYO-OSCAR\Consultas Tarifarias-GRE\"/>
    </mc:Choice>
  </mc:AlternateContent>
  <xr:revisionPtr revIDLastSave="0" documentId="8_{76ECFDB6-22B7-4DF3-94CB-16326AA5A06C}" xr6:coauthVersionLast="47" xr6:coauthVersionMax="47" xr10:uidLastSave="{00000000-0000-0000-0000-000000000000}"/>
  <bookViews>
    <workbookView xWindow="-120" yWindow="-120" windowWidth="29040" windowHeight="15840" xr2:uid="{BC92A4C7-8C20-4488-A245-D99E3943A693}"/>
  </bookViews>
  <sheets>
    <sheet name="Costeo de recursos" sheetId="1" r:id="rId1"/>
    <sheet name="Costos de personal" sheetId="2" r:id="rId2"/>
    <sheet name="Tipo de cambi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2" l="1"/>
  <c r="G14" i="1"/>
  <c r="G54" i="1"/>
  <c r="E94" i="1"/>
  <c r="C32" i="1"/>
  <c r="C31" i="1"/>
  <c r="C24" i="1"/>
  <c r="C25" i="1"/>
  <c r="C23" i="1"/>
  <c r="C22" i="1"/>
  <c r="C21" i="1"/>
  <c r="C20" i="1"/>
  <c r="C19" i="1"/>
  <c r="C18" i="1"/>
  <c r="C17" i="1"/>
  <c r="C16" i="1"/>
  <c r="C15" i="1"/>
  <c r="C14" i="1"/>
  <c r="C7" i="1"/>
  <c r="C8" i="1"/>
  <c r="C6" i="1"/>
  <c r="G2" i="1"/>
  <c r="F59" i="1"/>
  <c r="F58" i="1"/>
  <c r="F71" i="1"/>
  <c r="G71" i="1" s="1"/>
  <c r="D42" i="1"/>
  <c r="E42" i="1"/>
  <c r="D41" i="1"/>
  <c r="E41" i="1"/>
  <c r="F253" i="3"/>
  <c r="E253" i="3"/>
  <c r="F252" i="3"/>
  <c r="E252" i="3"/>
  <c r="F251" i="3"/>
  <c r="E251" i="3"/>
  <c r="F250" i="3"/>
  <c r="E250" i="3"/>
  <c r="F249" i="3"/>
  <c r="E249" i="3"/>
  <c r="F248" i="3"/>
  <c r="E248" i="3"/>
  <c r="F247" i="3"/>
  <c r="E247" i="3"/>
  <c r="F246" i="3"/>
  <c r="E246" i="3"/>
  <c r="F245" i="3"/>
  <c r="E245" i="3"/>
  <c r="F244" i="3"/>
  <c r="E244" i="3"/>
  <c r="F243" i="3"/>
  <c r="E243" i="3"/>
  <c r="F242" i="3"/>
  <c r="E242" i="3"/>
  <c r="F241" i="3"/>
  <c r="E241" i="3"/>
  <c r="F240" i="3"/>
  <c r="E240" i="3"/>
  <c r="F239" i="3"/>
  <c r="E239" i="3"/>
  <c r="F238" i="3"/>
  <c r="E238" i="3"/>
  <c r="F237" i="3"/>
  <c r="E237" i="3"/>
  <c r="F236" i="3"/>
  <c r="E236" i="3"/>
  <c r="F235" i="3"/>
  <c r="E235" i="3"/>
  <c r="F234" i="3"/>
  <c r="E234" i="3"/>
  <c r="F233" i="3"/>
  <c r="E233" i="3"/>
  <c r="F232" i="3"/>
  <c r="E232" i="3"/>
  <c r="F231" i="3"/>
  <c r="E231" i="3"/>
  <c r="F230" i="3"/>
  <c r="E230" i="3"/>
  <c r="F229" i="3"/>
  <c r="E229" i="3"/>
  <c r="F228" i="3"/>
  <c r="E228" i="3"/>
  <c r="F227" i="3"/>
  <c r="E227" i="3"/>
  <c r="F226" i="3"/>
  <c r="E226" i="3"/>
  <c r="F225" i="3"/>
  <c r="E225" i="3"/>
  <c r="F224" i="3"/>
  <c r="E224" i="3"/>
  <c r="F223" i="3"/>
  <c r="E223" i="3"/>
  <c r="F222" i="3"/>
  <c r="E222" i="3"/>
  <c r="F221" i="3"/>
  <c r="E221" i="3"/>
  <c r="F220" i="3"/>
  <c r="E220" i="3"/>
  <c r="F219" i="3"/>
  <c r="E219" i="3"/>
  <c r="F218" i="3"/>
  <c r="E218" i="3"/>
  <c r="F217" i="3"/>
  <c r="E217" i="3"/>
  <c r="F216" i="3"/>
  <c r="E216" i="3"/>
  <c r="F215" i="3"/>
  <c r="E215" i="3"/>
  <c r="F214" i="3"/>
  <c r="E214" i="3"/>
  <c r="F213" i="3"/>
  <c r="E213" i="3"/>
  <c r="F212" i="3"/>
  <c r="E212" i="3"/>
  <c r="F211" i="3"/>
  <c r="E211" i="3"/>
  <c r="F210" i="3"/>
  <c r="E210" i="3"/>
  <c r="F209" i="3"/>
  <c r="E209" i="3"/>
  <c r="F208" i="3"/>
  <c r="E208" i="3"/>
  <c r="F207" i="3"/>
  <c r="E207" i="3"/>
  <c r="F206" i="3"/>
  <c r="E206" i="3"/>
  <c r="F205" i="3"/>
  <c r="E205" i="3"/>
  <c r="F204" i="3"/>
  <c r="E204" i="3"/>
  <c r="F203" i="3"/>
  <c r="E203" i="3"/>
  <c r="F202" i="3"/>
  <c r="E202" i="3"/>
  <c r="F201" i="3"/>
  <c r="E201" i="3"/>
  <c r="F200" i="3"/>
  <c r="E200" i="3"/>
  <c r="F199" i="3"/>
  <c r="E199" i="3"/>
  <c r="F198" i="3"/>
  <c r="E198" i="3"/>
  <c r="F197" i="3"/>
  <c r="E197" i="3"/>
  <c r="F196" i="3"/>
  <c r="E196" i="3"/>
  <c r="F195" i="3"/>
  <c r="E195" i="3"/>
  <c r="F194" i="3"/>
  <c r="E194" i="3"/>
  <c r="F193" i="3"/>
  <c r="E193" i="3"/>
  <c r="F192" i="3"/>
  <c r="E192" i="3"/>
  <c r="F191" i="3"/>
  <c r="E191" i="3"/>
  <c r="F190" i="3"/>
  <c r="E190" i="3"/>
  <c r="F189" i="3"/>
  <c r="E189" i="3"/>
  <c r="F188" i="3"/>
  <c r="E188" i="3"/>
  <c r="F187" i="3"/>
  <c r="E187" i="3"/>
  <c r="F186" i="3"/>
  <c r="E186" i="3"/>
  <c r="F185" i="3"/>
  <c r="E185" i="3"/>
  <c r="F184" i="3"/>
  <c r="E184" i="3"/>
  <c r="F183" i="3"/>
  <c r="E183" i="3"/>
  <c r="F182" i="3"/>
  <c r="E182" i="3"/>
  <c r="F181" i="3"/>
  <c r="E181" i="3"/>
  <c r="F180" i="3"/>
  <c r="E180" i="3"/>
  <c r="F179" i="3"/>
  <c r="E179" i="3"/>
  <c r="F178" i="3"/>
  <c r="E178" i="3"/>
  <c r="F177" i="3"/>
  <c r="E177" i="3"/>
  <c r="F176" i="3"/>
  <c r="E176" i="3"/>
  <c r="F175" i="3"/>
  <c r="E175" i="3"/>
  <c r="F174" i="3"/>
  <c r="E174" i="3"/>
  <c r="F173" i="3"/>
  <c r="E173" i="3"/>
  <c r="F172" i="3"/>
  <c r="E172" i="3"/>
  <c r="F171" i="3"/>
  <c r="E171" i="3"/>
  <c r="F170" i="3"/>
  <c r="E170" i="3"/>
  <c r="F169" i="3"/>
  <c r="E169" i="3"/>
  <c r="F168" i="3"/>
  <c r="E168" i="3"/>
  <c r="F167" i="3"/>
  <c r="E167" i="3"/>
  <c r="F166" i="3"/>
  <c r="E166" i="3"/>
  <c r="F165" i="3"/>
  <c r="E165" i="3"/>
  <c r="F164" i="3"/>
  <c r="E164" i="3"/>
  <c r="F163" i="3"/>
  <c r="E163" i="3"/>
  <c r="F162" i="3"/>
  <c r="E162" i="3"/>
  <c r="F161" i="3"/>
  <c r="E161" i="3"/>
  <c r="F160" i="3"/>
  <c r="E160" i="3"/>
  <c r="F159" i="3"/>
  <c r="E159" i="3"/>
  <c r="F158" i="3"/>
  <c r="E158" i="3"/>
  <c r="F157" i="3"/>
  <c r="E157" i="3"/>
  <c r="F156" i="3"/>
  <c r="E156" i="3"/>
  <c r="F155" i="3"/>
  <c r="E155" i="3"/>
  <c r="F154" i="3"/>
  <c r="E154" i="3"/>
  <c r="F153" i="3"/>
  <c r="E153" i="3"/>
  <c r="F152" i="3"/>
  <c r="E152" i="3"/>
  <c r="F151" i="3"/>
  <c r="E151" i="3"/>
  <c r="F150" i="3"/>
  <c r="E150" i="3"/>
  <c r="F149" i="3"/>
  <c r="E149" i="3"/>
  <c r="F148" i="3"/>
  <c r="E148" i="3"/>
  <c r="F147" i="3"/>
  <c r="E147" i="3"/>
  <c r="F146" i="3"/>
  <c r="E146" i="3"/>
  <c r="F145" i="3"/>
  <c r="E145" i="3"/>
  <c r="F144" i="3"/>
  <c r="E144" i="3"/>
  <c r="F143" i="3"/>
  <c r="E143" i="3"/>
  <c r="F142" i="3"/>
  <c r="E142" i="3"/>
  <c r="F141" i="3"/>
  <c r="E141" i="3"/>
  <c r="F140" i="3"/>
  <c r="E140" i="3"/>
  <c r="F139" i="3"/>
  <c r="E139" i="3"/>
  <c r="F138" i="3"/>
  <c r="E138" i="3"/>
  <c r="F137" i="3"/>
  <c r="E137" i="3"/>
  <c r="F136" i="3"/>
  <c r="E136" i="3"/>
  <c r="F135" i="3"/>
  <c r="E135" i="3"/>
  <c r="F134" i="3"/>
  <c r="E134" i="3"/>
  <c r="F133" i="3"/>
  <c r="E133" i="3"/>
  <c r="F132" i="3"/>
  <c r="E132" i="3"/>
  <c r="F131" i="3"/>
  <c r="E131" i="3"/>
  <c r="F130" i="3"/>
  <c r="E130" i="3"/>
  <c r="F129" i="3"/>
  <c r="E129" i="3"/>
  <c r="F128" i="3"/>
  <c r="E128" i="3"/>
  <c r="F127" i="3"/>
  <c r="E127" i="3"/>
  <c r="F126" i="3"/>
  <c r="E126" i="3"/>
  <c r="F125" i="3"/>
  <c r="E125" i="3"/>
  <c r="F124" i="3"/>
  <c r="E124" i="3"/>
  <c r="F123" i="3"/>
  <c r="E123" i="3"/>
  <c r="F122" i="3"/>
  <c r="E122" i="3"/>
  <c r="F121" i="3"/>
  <c r="E121" i="3"/>
  <c r="F120" i="3"/>
  <c r="E120" i="3"/>
  <c r="F119" i="3"/>
  <c r="E119" i="3"/>
  <c r="F118" i="3"/>
  <c r="E118" i="3"/>
  <c r="F117" i="3"/>
  <c r="E117" i="3"/>
  <c r="F116" i="3"/>
  <c r="E116" i="3"/>
  <c r="F115" i="3"/>
  <c r="E115" i="3"/>
  <c r="F114" i="3"/>
  <c r="E114" i="3"/>
  <c r="F113" i="3"/>
  <c r="E113" i="3"/>
  <c r="F112" i="3"/>
  <c r="E112" i="3"/>
  <c r="F111" i="3"/>
  <c r="E111" i="3"/>
  <c r="F110" i="3"/>
  <c r="E110" i="3"/>
  <c r="F109" i="3"/>
  <c r="E109" i="3"/>
  <c r="F108" i="3"/>
  <c r="E108" i="3"/>
  <c r="F107" i="3"/>
  <c r="E107" i="3"/>
  <c r="F106" i="3"/>
  <c r="E106" i="3"/>
  <c r="F105" i="3"/>
  <c r="E105" i="3"/>
  <c r="F104" i="3"/>
  <c r="E104" i="3"/>
  <c r="F103" i="3"/>
  <c r="E103" i="3"/>
  <c r="F102" i="3"/>
  <c r="E102" i="3"/>
  <c r="F101" i="3"/>
  <c r="E101" i="3"/>
  <c r="F100" i="3"/>
  <c r="E100" i="3"/>
  <c r="F99" i="3"/>
  <c r="E99" i="3"/>
  <c r="F98" i="3"/>
  <c r="E98" i="3"/>
  <c r="F97" i="3"/>
  <c r="E97" i="3"/>
  <c r="F96" i="3"/>
  <c r="E96" i="3"/>
  <c r="F95" i="3"/>
  <c r="E95" i="3"/>
  <c r="F94" i="3"/>
  <c r="E94" i="3"/>
  <c r="F93" i="3"/>
  <c r="E93" i="3"/>
  <c r="F92" i="3"/>
  <c r="E92" i="3"/>
  <c r="F91" i="3"/>
  <c r="E91" i="3"/>
  <c r="F90" i="3"/>
  <c r="E90" i="3"/>
  <c r="F89" i="3"/>
  <c r="E89" i="3"/>
  <c r="F88" i="3"/>
  <c r="E88" i="3"/>
  <c r="F87" i="3"/>
  <c r="E87" i="3"/>
  <c r="F86" i="3"/>
  <c r="E86" i="3"/>
  <c r="F85" i="3"/>
  <c r="E85" i="3"/>
  <c r="F84" i="3"/>
  <c r="E84" i="3"/>
  <c r="F83" i="3"/>
  <c r="E83" i="3"/>
  <c r="F82" i="3"/>
  <c r="E82" i="3"/>
  <c r="F81" i="3"/>
  <c r="E81" i="3"/>
  <c r="F80" i="3"/>
  <c r="E80" i="3"/>
  <c r="F79" i="3"/>
  <c r="E79" i="3"/>
  <c r="F78" i="3"/>
  <c r="E78" i="3"/>
  <c r="F77" i="3"/>
  <c r="E77" i="3"/>
  <c r="F76" i="3"/>
  <c r="E76" i="3"/>
  <c r="F75" i="3"/>
  <c r="E75" i="3"/>
  <c r="F74" i="3"/>
  <c r="E74" i="3"/>
  <c r="F73" i="3"/>
  <c r="E73" i="3"/>
  <c r="F72" i="3"/>
  <c r="E72" i="3"/>
  <c r="F71" i="3"/>
  <c r="E71" i="3"/>
  <c r="F70" i="3"/>
  <c r="E70" i="3"/>
  <c r="F69" i="3"/>
  <c r="E69" i="3"/>
  <c r="F68" i="3"/>
  <c r="E68" i="3"/>
  <c r="F67" i="3"/>
  <c r="E67" i="3"/>
  <c r="F66" i="3"/>
  <c r="E66" i="3"/>
  <c r="F65" i="3"/>
  <c r="E65" i="3"/>
  <c r="F64" i="3"/>
  <c r="E64" i="3"/>
  <c r="F63" i="3"/>
  <c r="E63" i="3"/>
  <c r="F62" i="3"/>
  <c r="E62" i="3"/>
  <c r="F61" i="3"/>
  <c r="E61" i="3"/>
  <c r="F60" i="3"/>
  <c r="E60" i="3"/>
  <c r="F59" i="3"/>
  <c r="E59" i="3"/>
  <c r="F58" i="3"/>
  <c r="E58" i="3"/>
  <c r="F57" i="3"/>
  <c r="E57" i="3"/>
  <c r="F56" i="3"/>
  <c r="E56" i="3"/>
  <c r="F55" i="3"/>
  <c r="E55" i="3"/>
  <c r="F54" i="3"/>
  <c r="E54" i="3"/>
  <c r="F53" i="3"/>
  <c r="E53" i="3"/>
  <c r="F52" i="3"/>
  <c r="E52" i="3"/>
  <c r="F51" i="3"/>
  <c r="E51" i="3"/>
  <c r="F50" i="3"/>
  <c r="E50" i="3"/>
  <c r="F49" i="3"/>
  <c r="E49" i="3"/>
  <c r="F48" i="3"/>
  <c r="E48" i="3"/>
  <c r="F47" i="3"/>
  <c r="E47" i="3"/>
  <c r="F46" i="3"/>
  <c r="E46" i="3"/>
  <c r="F45" i="3"/>
  <c r="E45" i="3"/>
  <c r="F44" i="3"/>
  <c r="E44" i="3"/>
  <c r="F43" i="3"/>
  <c r="E43" i="3"/>
  <c r="F42" i="3"/>
  <c r="E42" i="3"/>
  <c r="F41" i="3"/>
  <c r="E41" i="3"/>
  <c r="F40" i="3"/>
  <c r="E40" i="3"/>
  <c r="F39" i="3"/>
  <c r="E39" i="3"/>
  <c r="F38" i="3"/>
  <c r="E38" i="3"/>
  <c r="F37" i="3"/>
  <c r="E37" i="3"/>
  <c r="F36" i="3"/>
  <c r="E36" i="3"/>
  <c r="F35" i="3"/>
  <c r="E35" i="3"/>
  <c r="F34" i="3"/>
  <c r="E34" i="3"/>
  <c r="F33" i="3"/>
  <c r="E33" i="3"/>
  <c r="F32" i="3"/>
  <c r="E32" i="3"/>
  <c r="F31" i="3"/>
  <c r="E31" i="3"/>
  <c r="F30" i="3"/>
  <c r="E30" i="3"/>
  <c r="F29" i="3"/>
  <c r="E29" i="3"/>
  <c r="F28" i="3"/>
  <c r="E28" i="3"/>
  <c r="F27" i="3"/>
  <c r="E27" i="3"/>
  <c r="F26" i="3"/>
  <c r="E26" i="3"/>
  <c r="F25" i="3"/>
  <c r="E25" i="3"/>
  <c r="F24" i="3"/>
  <c r="E24" i="3"/>
  <c r="F23" i="3"/>
  <c r="E23" i="3"/>
  <c r="F22" i="3"/>
  <c r="E22" i="3"/>
  <c r="F21" i="3"/>
  <c r="E21" i="3"/>
  <c r="F20" i="3"/>
  <c r="E20" i="3"/>
  <c r="F19" i="3"/>
  <c r="E19" i="3"/>
  <c r="F18" i="3"/>
  <c r="E18" i="3"/>
  <c r="F17" i="3"/>
  <c r="E17" i="3"/>
  <c r="F16" i="3"/>
  <c r="E16" i="3"/>
  <c r="F15" i="3"/>
  <c r="E15" i="3"/>
  <c r="F14" i="3"/>
  <c r="E14" i="3"/>
  <c r="F13" i="3"/>
  <c r="E13" i="3"/>
  <c r="F12" i="3"/>
  <c r="E12" i="3"/>
  <c r="F11" i="3"/>
  <c r="E11" i="3"/>
  <c r="F10" i="3"/>
  <c r="E10" i="3"/>
  <c r="F9" i="3"/>
  <c r="E9" i="3"/>
  <c r="F8" i="3"/>
  <c r="E8" i="3"/>
  <c r="F7" i="3"/>
  <c r="E7" i="3"/>
  <c r="F6" i="3"/>
  <c r="E6" i="3"/>
  <c r="F5" i="3"/>
  <c r="E5" i="3"/>
  <c r="F4" i="3"/>
  <c r="E4" i="3"/>
  <c r="F3" i="3"/>
  <c r="E3" i="3"/>
  <c r="F2" i="3"/>
  <c r="E2" i="3"/>
  <c r="E254" i="3" s="1"/>
  <c r="Q13" i="2"/>
  <c r="P13" i="2"/>
  <c r="R13" i="2" s="1"/>
  <c r="P12" i="2"/>
  <c r="R12" i="2" s="1"/>
  <c r="L11" i="2"/>
  <c r="P11" i="2" s="1"/>
  <c r="R11" i="2" s="1"/>
  <c r="K11" i="2"/>
  <c r="J11" i="2"/>
  <c r="E11" i="2"/>
  <c r="D11" i="2"/>
  <c r="K10" i="2"/>
  <c r="H10" i="2"/>
  <c r="F10" i="2"/>
  <c r="E10" i="2"/>
  <c r="P10" i="2" s="1"/>
  <c r="R10" i="2" s="1"/>
  <c r="D10" i="2"/>
  <c r="L9" i="2"/>
  <c r="K9" i="2"/>
  <c r="J9" i="2"/>
  <c r="H9" i="2"/>
  <c r="G9" i="2"/>
  <c r="P9" i="2" s="1"/>
  <c r="R9" i="2" s="1"/>
  <c r="E9" i="2"/>
  <c r="D9" i="2"/>
  <c r="L8" i="2"/>
  <c r="P8" i="2" s="1"/>
  <c r="R8" i="2" s="1"/>
  <c r="K8" i="2"/>
  <c r="J8" i="2"/>
  <c r="E8" i="2"/>
  <c r="D8" i="2"/>
  <c r="E7" i="2"/>
  <c r="D7" i="2"/>
  <c r="P7" i="2" s="1"/>
  <c r="R7" i="2" s="1"/>
  <c r="L6" i="2"/>
  <c r="K6" i="2"/>
  <c r="J6" i="2"/>
  <c r="E6" i="2"/>
  <c r="D6" i="2"/>
  <c r="P6" i="2" s="1"/>
  <c r="R6" i="2" s="1"/>
  <c r="J5" i="2"/>
  <c r="H5" i="2"/>
  <c r="P5" i="2" s="1"/>
  <c r="R5" i="2" s="1"/>
  <c r="E5" i="2"/>
  <c r="D5" i="2"/>
  <c r="O4" i="2"/>
  <c r="P4" i="2" s="1"/>
  <c r="R4" i="2" s="1"/>
  <c r="E4" i="2"/>
  <c r="D4" i="2"/>
  <c r="F3" i="2"/>
  <c r="E3" i="2"/>
  <c r="D3" i="2"/>
  <c r="P3" i="2" s="1"/>
  <c r="R3" i="2" s="1"/>
  <c r="F72" i="1"/>
  <c r="F70" i="1"/>
  <c r="G70" i="1" s="1"/>
  <c r="F69" i="1"/>
  <c r="G69" i="1" s="1"/>
  <c r="F68" i="1"/>
  <c r="G68" i="1" s="1"/>
  <c r="F67" i="1"/>
  <c r="E67" i="1"/>
  <c r="G67" i="1" s="1"/>
  <c r="F66" i="1"/>
  <c r="G66" i="1" s="1"/>
  <c r="G51" i="1"/>
  <c r="G50" i="1"/>
  <c r="G49" i="1"/>
  <c r="G48" i="1"/>
  <c r="G47" i="1"/>
  <c r="E22" i="1"/>
  <c r="E21" i="1"/>
  <c r="E19" i="1"/>
  <c r="E18" i="1"/>
  <c r="E17" i="1"/>
  <c r="E16" i="1"/>
  <c r="E15" i="1"/>
  <c r="E14" i="1"/>
  <c r="D32" i="1" l="1"/>
  <c r="G32" i="1" s="1"/>
  <c r="D17" i="1"/>
  <c r="G17" i="1" s="1"/>
  <c r="E59" i="1"/>
  <c r="G59" i="1" s="1"/>
  <c r="D22" i="1"/>
  <c r="G22" i="1" s="1"/>
  <c r="D19" i="1"/>
  <c r="D7" i="1"/>
  <c r="G7" i="1" s="1"/>
  <c r="F41" i="1"/>
  <c r="G41" i="1" s="1"/>
  <c r="D15" i="1"/>
  <c r="G15" i="1" s="1"/>
  <c r="D23" i="1"/>
  <c r="E72" i="1"/>
  <c r="C77" i="1"/>
  <c r="E77" i="1" s="1"/>
  <c r="G77" i="1" s="1"/>
  <c r="F42" i="1"/>
  <c r="G42" i="1" s="1"/>
  <c r="D18" i="1"/>
  <c r="D31" i="1"/>
  <c r="E84" i="1"/>
  <c r="G84" i="1" s="1"/>
  <c r="F40" i="1"/>
  <c r="G40" i="1" s="1"/>
  <c r="C78" i="1"/>
  <c r="E78" i="1" s="1"/>
  <c r="G78" i="1" s="1"/>
  <c r="E85" i="1"/>
  <c r="G85" i="1" s="1"/>
  <c r="G87" i="1" s="1"/>
  <c r="C76" i="1"/>
  <c r="E76" i="1" s="1"/>
  <c r="G76" i="1" s="1"/>
  <c r="D8" i="1"/>
  <c r="G8" i="1" s="1"/>
  <c r="D25" i="1"/>
  <c r="G25" i="1" s="1"/>
  <c r="D6" i="1"/>
  <c r="G6" i="1" s="1"/>
  <c r="D21" i="1"/>
  <c r="C79" i="1"/>
  <c r="E79" i="1" s="1"/>
  <c r="G79" i="1" s="1"/>
  <c r="D20" i="1"/>
  <c r="D14" i="1"/>
  <c r="D24" i="1"/>
  <c r="D16" i="1"/>
  <c r="G16" i="1" s="1"/>
  <c r="F96" i="1" l="1"/>
  <c r="G88" i="1"/>
  <c r="G72" i="1"/>
  <c r="G73" i="1" s="1"/>
  <c r="F94" i="1" s="1"/>
  <c r="E58" i="1"/>
  <c r="G58" i="1" s="1"/>
  <c r="G61" i="1" s="1"/>
  <c r="E93" i="1" s="1"/>
  <c r="E57" i="1"/>
  <c r="G57" i="1" s="1"/>
  <c r="G60" i="1" s="1"/>
  <c r="D93" i="1" s="1"/>
  <c r="G62" i="1"/>
  <c r="F93" i="1" s="1"/>
  <c r="G18" i="1"/>
  <c r="G24" i="1"/>
  <c r="G19" i="1"/>
  <c r="G20" i="1"/>
  <c r="G23" i="1"/>
  <c r="G31" i="1"/>
  <c r="G33" i="1" s="1"/>
  <c r="G21" i="1"/>
  <c r="G80" i="1"/>
  <c r="F95" i="1" s="1"/>
  <c r="E96" i="1"/>
  <c r="G86" i="1"/>
  <c r="D96" i="1" s="1"/>
  <c r="G9" i="1"/>
  <c r="D94" i="1" l="1"/>
  <c r="G26" i="1"/>
  <c r="G35" i="1" s="1"/>
  <c r="D92" i="1" s="1"/>
  <c r="G27" i="1"/>
  <c r="G36" i="1" s="1"/>
  <c r="E92" i="1" s="1"/>
  <c r="G28" i="1"/>
  <c r="G37" i="1" s="1"/>
  <c r="F92" i="1" s="1"/>
  <c r="D95" i="1"/>
  <c r="E95" i="1"/>
  <c r="F91" i="1" l="1"/>
  <c r="F98" i="1" s="1"/>
  <c r="D91" i="1"/>
  <c r="D97" i="1" s="1"/>
  <c r="E91" i="1"/>
  <c r="E97" i="1" s="1"/>
  <c r="F97" i="1" l="1"/>
  <c r="F99" i="1" s="1"/>
  <c r="D98" i="1"/>
  <c r="D99" i="1" s="1"/>
  <c r="E98" i="1"/>
  <c r="E99" i="1" s="1"/>
</calcChain>
</file>

<file path=xl/sharedStrings.xml><?xml version="1.0" encoding="utf-8"?>
<sst xmlns="http://schemas.openxmlformats.org/spreadsheetml/2006/main" count="412" uniqueCount="115">
  <si>
    <t>Costo Personal administrativo de APMT</t>
  </si>
  <si>
    <t>Tipo de trabajador</t>
  </si>
  <si>
    <t>Remuneración mensual S/.</t>
  </si>
  <si>
    <t>Tiempo efectivo de trabajo por trabajador por operación (min)</t>
  </si>
  <si>
    <t>Cantidad de trabajadores</t>
  </si>
  <si>
    <t>Costo personal administrativo, m.conjunta, solo N2, solo CO2</t>
  </si>
  <si>
    <t xml:space="preserve">Personal operativo </t>
  </si>
  <si>
    <t xml:space="preserve"> </t>
  </si>
  <si>
    <t>Costo personal operativo modalidad conjunta</t>
  </si>
  <si>
    <t>Costo personal operativo solo N2</t>
  </si>
  <si>
    <t>Costo personal operativo solo CO2</t>
  </si>
  <si>
    <t>Seguridad</t>
  </si>
  <si>
    <t>Costo personal por operación conjunta</t>
  </si>
  <si>
    <t>Costo personal por operación solo N2</t>
  </si>
  <si>
    <t>Costo personal por operación solo CO2</t>
  </si>
  <si>
    <t>Costo combustible montacarga 5 TN</t>
  </si>
  <si>
    <t>Consumo balones de GLP por hora</t>
  </si>
  <si>
    <t>Tiempo de operación</t>
  </si>
  <si>
    <t>Precio GLP por balón</t>
  </si>
  <si>
    <t>Costo combustible modalidad conjunta</t>
  </si>
  <si>
    <t>Costo combustible modalidad N2</t>
  </si>
  <si>
    <t xml:space="preserve">Costo combustible modalidad CO2 </t>
  </si>
  <si>
    <t>Costo mantenimiento montacarga 5 TN</t>
  </si>
  <si>
    <t>Frecuencia de horas</t>
  </si>
  <si>
    <t>Costo USD</t>
  </si>
  <si>
    <t>Costo USD por hora</t>
  </si>
  <si>
    <t>-</t>
  </si>
  <si>
    <t>Costo mantenimiento modalidad conjunta</t>
  </si>
  <si>
    <t>Costo mantenimiento modalidad N2</t>
  </si>
  <si>
    <t>Costo mantenimiento modalidad CO2</t>
  </si>
  <si>
    <t>Costo montacarga por operación conjunta</t>
  </si>
  <si>
    <t>Costo montacarga por operación solo N2</t>
  </si>
  <si>
    <t>Costo montacarga por operación solo CO2</t>
  </si>
  <si>
    <t xml:space="preserve">Valor </t>
  </si>
  <si>
    <t xml:space="preserve">damper </t>
  </si>
  <si>
    <t>mangueras nitrógeno</t>
  </si>
  <si>
    <t>mangueras dioxido carbono</t>
  </si>
  <si>
    <t>Regulador</t>
  </si>
  <si>
    <t>manómetro</t>
  </si>
  <si>
    <t>bombona</t>
  </si>
  <si>
    <t>llave francesa</t>
  </si>
  <si>
    <t>Costo desgaste herramientas básicas</t>
  </si>
  <si>
    <t>Costo herramientas para fugas</t>
  </si>
  <si>
    <t>Gasto</t>
  </si>
  <si>
    <t>Cantidad por unidad de medida</t>
  </si>
  <si>
    <t>Costo por unidad de medida</t>
  </si>
  <si>
    <t>Contenedor</t>
  </si>
  <si>
    <t>Agua 3 lt</t>
  </si>
  <si>
    <t xml:space="preserve">Jabón líquido 0,75lt </t>
  </si>
  <si>
    <t>Cintas plomas</t>
  </si>
  <si>
    <t>Silicona en barra (Sika Flex)</t>
  </si>
  <si>
    <t>Costo desgaste materiales fugas</t>
  </si>
  <si>
    <t>Costo Gases</t>
  </si>
  <si>
    <t>Unidades</t>
  </si>
  <si>
    <t>Precio unitario S/</t>
  </si>
  <si>
    <t>Precio unitario USD</t>
  </si>
  <si>
    <t>Consumo de gases</t>
  </si>
  <si>
    <t>Costo dióxido carbono</t>
  </si>
  <si>
    <t>kg</t>
  </si>
  <si>
    <t>Costo nitrógeno</t>
  </si>
  <si>
    <t>m3</t>
  </si>
  <si>
    <t>Costo total de operación por modalidad</t>
  </si>
  <si>
    <t>Unidad de cobro</t>
  </si>
  <si>
    <t xml:space="preserve">   Costo mano de obra</t>
  </si>
  <si>
    <t xml:space="preserve">   Costo gases</t>
  </si>
  <si>
    <t xml:space="preserve">   Tasa de regulación</t>
  </si>
  <si>
    <t xml:space="preserve">   Tasa retribución</t>
  </si>
  <si>
    <t>Remuneración básica</t>
  </si>
  <si>
    <t xml:space="preserve">Gratificación </t>
  </si>
  <si>
    <t>CTS</t>
  </si>
  <si>
    <t>Asignación por cumpleaños</t>
  </si>
  <si>
    <t>Bonificacion por encargatura</t>
  </si>
  <si>
    <t>Bono de comportamiento</t>
  </si>
  <si>
    <t>Asignación familiar</t>
  </si>
  <si>
    <t>Bono de amanecida</t>
  </si>
  <si>
    <t>Vale de alimentos</t>
  </si>
  <si>
    <t>Horas de trabajo feriado</t>
  </si>
  <si>
    <t>EPS</t>
  </si>
  <si>
    <t>ESSALUD</t>
  </si>
  <si>
    <t>STCR</t>
  </si>
  <si>
    <t>TOTAL MENSUAL</t>
  </si>
  <si>
    <t>HORAS TRABAJADAS AL MES</t>
  </si>
  <si>
    <t>COSTO POR HORA</t>
  </si>
  <si>
    <t xml:space="preserve">FECHA </t>
  </si>
  <si>
    <t xml:space="preserve">MONEDA </t>
  </si>
  <si>
    <t xml:space="preserve">COMPRA </t>
  </si>
  <si>
    <t xml:space="preserve">VENTA </t>
  </si>
  <si>
    <t>Dólar de N.A.</t>
  </si>
  <si>
    <t>Personal / ítem</t>
  </si>
  <si>
    <t>Prom compra</t>
  </si>
  <si>
    <t>Prom venta</t>
  </si>
  <si>
    <t>PROMEDIO COMPRA Y VENTA</t>
  </si>
  <si>
    <t>TC</t>
  </si>
  <si>
    <t>Remuneración mensual (en USD)</t>
  </si>
  <si>
    <t>Costo (USD por hora)</t>
  </si>
  <si>
    <t xml:space="preserve">Costo de combustible (en USD por operación) </t>
  </si>
  <si>
    <t>Costo de mano de obra (en USD por operación)</t>
  </si>
  <si>
    <t xml:space="preserve">Costo adicional por unidad de servicio </t>
  </si>
  <si>
    <t>Veces de uso (en cantidades)</t>
  </si>
  <si>
    <t>Costo de mantenimiento (en USD por operación)</t>
  </si>
  <si>
    <t>Costo de desgaste (en USD por operación)</t>
  </si>
  <si>
    <t>Costo de gases (en USD por operación)</t>
  </si>
  <si>
    <t>Costo gases por operación conjunta</t>
  </si>
  <si>
    <t>Costo gases por operación solo nitrógeno</t>
  </si>
  <si>
    <t>Costo gases por operación solo dióxido de carbono</t>
  </si>
  <si>
    <t xml:space="preserve">Modalidad de provisión conjunta </t>
  </si>
  <si>
    <t>Modalidad de solo nitrógeno</t>
  </si>
  <si>
    <t>Modalidad de solo dióxido de carbono</t>
  </si>
  <si>
    <t xml:space="preserve">   Costo combustible y mantenimiento del montacarga</t>
  </si>
  <si>
    <t>Tarifa máxima según modalidad de provisión de gases  (en USD por operación)</t>
  </si>
  <si>
    <t xml:space="preserve">   Costo desgaste herramientas</t>
  </si>
  <si>
    <t xml:space="preserve">   Costo desgaste materiales fugas</t>
  </si>
  <si>
    <t>Costo herramientas básicas</t>
  </si>
  <si>
    <t>Confidencial</t>
  </si>
  <si>
    <t>Costo personal de seguridad [confidencial], m.conjunta, solo N2, solo CO2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</si>
</sst>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0"/>
    <numFmt numFmtId="165" formatCode="0.0000"/>
    <numFmt numFmtId="166" formatCode="0.000"/>
  </numFmts>
  <fonts count="6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b/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/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/>
    <xf numFmtId="2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left" vertical="center"/>
    </xf>
    <xf numFmtId="2" fontId="0" fillId="0" borderId="2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0" fillId="0" borderId="2" xfId="0" applyNumberForma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2" fontId="5" fillId="0" borderId="2" xfId="0" applyNumberFormat="1" applyFont="1" applyBorder="1" applyAlignment="1">
      <alignment horizontal="center" vertical="center"/>
    </xf>
    <xf numFmtId="2" fontId="0" fillId="0" borderId="2" xfId="0" applyNumberFormat="1" applyBorder="1" applyAlignment="1">
      <alignment horizontal="center"/>
    </xf>
    <xf numFmtId="2" fontId="5" fillId="0" borderId="0" xfId="0" applyNumberFormat="1" applyFont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/>
    </xf>
    <xf numFmtId="165" fontId="0" fillId="0" borderId="0" xfId="0" applyNumberFormat="1" applyAlignment="1">
      <alignment horizontal="center"/>
    </xf>
    <xf numFmtId="166" fontId="5" fillId="0" borderId="0" xfId="0" applyNumberFormat="1" applyFont="1" applyAlignment="1">
      <alignment horizontal="center"/>
    </xf>
    <xf numFmtId="166" fontId="5" fillId="0" borderId="2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5" fillId="0" borderId="2" xfId="0" applyFont="1" applyBorder="1" applyAlignment="1">
      <alignment vertical="center"/>
    </xf>
    <xf numFmtId="0" fontId="0" fillId="2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2" fontId="0" fillId="0" borderId="4" xfId="0" applyNumberFormat="1" applyBorder="1" applyAlignment="1">
      <alignment horizontal="center" vertical="center"/>
    </xf>
    <xf numFmtId="0" fontId="3" fillId="0" borderId="6" xfId="1" applyFont="1" applyBorder="1" applyAlignment="1">
      <alignment wrapText="1"/>
    </xf>
    <xf numFmtId="0" fontId="2" fillId="0" borderId="0" xfId="1"/>
    <xf numFmtId="14" fontId="2" fillId="0" borderId="6" xfId="1" applyNumberFormat="1" applyBorder="1" applyAlignment="1">
      <alignment wrapText="1"/>
    </xf>
    <xf numFmtId="0" fontId="2" fillId="0" borderId="6" xfId="1" applyBorder="1" applyAlignment="1">
      <alignment wrapText="1"/>
    </xf>
    <xf numFmtId="3" fontId="2" fillId="0" borderId="6" xfId="1" applyNumberFormat="1" applyBorder="1" applyAlignment="1">
      <alignment wrapText="1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0" fontId="1" fillId="0" borderId="0" xfId="1" applyFont="1"/>
    <xf numFmtId="3" fontId="2" fillId="0" borderId="7" xfId="1" applyNumberFormat="1" applyBorder="1" applyAlignment="1">
      <alignment wrapText="1"/>
    </xf>
    <xf numFmtId="0" fontId="3" fillId="0" borderId="8" xfId="1" applyFont="1" applyBorder="1" applyAlignment="1">
      <alignment wrapText="1"/>
    </xf>
    <xf numFmtId="0" fontId="2" fillId="0" borderId="4" xfId="1" applyBorder="1"/>
    <xf numFmtId="166" fontId="2" fillId="0" borderId="0" xfId="1" applyNumberFormat="1" applyAlignment="1">
      <alignment horizontal="center"/>
    </xf>
    <xf numFmtId="0" fontId="0" fillId="0" borderId="1" xfId="0" applyBorder="1" applyAlignment="1">
      <alignment horizontal="center" wrapText="1"/>
    </xf>
    <xf numFmtId="2" fontId="0" fillId="0" borderId="3" xfId="0" applyNumberFormat="1" applyBorder="1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2" xfId="0" applyNumberFormat="1" applyBorder="1" applyAlignment="1">
      <alignment vertical="center" wrapText="1"/>
    </xf>
    <xf numFmtId="2" fontId="5" fillId="0" borderId="1" xfId="0" applyNumberFormat="1" applyFont="1" applyBorder="1" applyAlignment="1">
      <alignment horizontal="center"/>
    </xf>
    <xf numFmtId="0" fontId="0" fillId="0" borderId="4" xfId="0" applyBorder="1" applyAlignment="1">
      <alignment vertical="center"/>
    </xf>
    <xf numFmtId="2" fontId="0" fillId="0" borderId="5" xfId="0" applyNumberForma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2" fontId="5" fillId="0" borderId="4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Normal 6" xfId="1" xr:uid="{2B27D642-032A-46F5-AAC1-CB930DDED7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15</xdr:row>
      <xdr:rowOff>0</xdr:rowOff>
    </xdr:from>
    <xdr:to>
      <xdr:col>10</xdr:col>
      <xdr:colOff>304800</xdr:colOff>
      <xdr:row>16</xdr:row>
      <xdr:rowOff>142874</xdr:rowOff>
    </xdr:to>
    <xdr:sp macro="" textlink="">
      <xdr:nvSpPr>
        <xdr:cNvPr id="1029" name="avatar">
          <a:extLst>
            <a:ext uri="{FF2B5EF4-FFF2-40B4-BE49-F238E27FC236}">
              <a16:creationId xmlns:a16="http://schemas.microsoft.com/office/drawing/2014/main" id="{233C9D8B-3745-2E87-8C32-6E98798FA3C0}"/>
            </a:ext>
          </a:extLst>
        </xdr:cNvPr>
        <xdr:cNvSpPr>
          <a:spLocks noChangeAspect="1" noChangeArrowheads="1"/>
        </xdr:cNvSpPr>
      </xdr:nvSpPr>
      <xdr:spPr bwMode="auto">
        <a:xfrm>
          <a:off x="11811000" y="309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6ED51-047A-4CE6-BE6B-BFE814B3CDAA}">
  <dimension ref="B2:K99"/>
  <sheetViews>
    <sheetView tabSelected="1" zoomScale="85" zoomScaleNormal="85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G31" sqref="G31"/>
    </sheetView>
  </sheetViews>
  <sheetFormatPr baseColWidth="10" defaultRowHeight="12.75" x14ac:dyDescent="0.2"/>
  <cols>
    <col min="1" max="1" width="3.140625" customWidth="1"/>
    <col min="2" max="2" width="44.85546875" customWidth="1"/>
    <col min="3" max="3" width="19.5703125" style="17" customWidth="1"/>
    <col min="4" max="4" width="17" style="17" customWidth="1"/>
    <col min="5" max="5" width="20.42578125" customWidth="1"/>
    <col min="6" max="6" width="18" customWidth="1"/>
    <col min="7" max="7" width="19.7109375" style="17" bestFit="1" customWidth="1"/>
    <col min="8" max="9" width="14.140625" customWidth="1"/>
    <col min="10" max="10" width="14.5703125" bestFit="1" customWidth="1"/>
    <col min="11" max="11" width="23.28515625" bestFit="1" customWidth="1"/>
  </cols>
  <sheetData>
    <row r="2" spans="2:8" ht="14.25" x14ac:dyDescent="0.2">
      <c r="B2" s="1" t="s">
        <v>97</v>
      </c>
      <c r="C2" s="2"/>
      <c r="D2" s="2"/>
      <c r="E2" s="2"/>
      <c r="F2" s="2" t="s">
        <v>92</v>
      </c>
      <c r="G2" s="6">
        <f>+'Tipo de cambio'!E254</f>
        <v>3.8672003968253983</v>
      </c>
    </row>
    <row r="3" spans="2:8" ht="9.75" customHeight="1" x14ac:dyDescent="0.2">
      <c r="B3" s="1"/>
      <c r="C3" s="2"/>
      <c r="D3" s="2"/>
      <c r="E3" s="2"/>
      <c r="F3" s="2"/>
      <c r="G3" s="2"/>
      <c r="H3" s="2"/>
    </row>
    <row r="4" spans="2:8" x14ac:dyDescent="0.2">
      <c r="B4" s="4" t="s">
        <v>0</v>
      </c>
      <c r="C4" s="2"/>
      <c r="D4" s="5"/>
      <c r="E4" s="2"/>
      <c r="F4" s="2"/>
      <c r="G4" s="2"/>
    </row>
    <row r="5" spans="2:8" ht="38.25" x14ac:dyDescent="0.2">
      <c r="B5" s="7" t="s">
        <v>1</v>
      </c>
      <c r="C5" s="8" t="s">
        <v>2</v>
      </c>
      <c r="D5" s="8" t="s">
        <v>93</v>
      </c>
      <c r="E5" s="8" t="s">
        <v>3</v>
      </c>
      <c r="F5" s="8" t="s">
        <v>4</v>
      </c>
      <c r="G5" s="9" t="s">
        <v>96</v>
      </c>
    </row>
    <row r="6" spans="2:8" x14ac:dyDescent="0.2">
      <c r="B6" s="3" t="s">
        <v>113</v>
      </c>
      <c r="C6" s="5">
        <f>+'Costos de personal'!P3</f>
        <v>6597.88</v>
      </c>
      <c r="D6" s="10">
        <f>C6/$G$2</f>
        <v>1706.112774868411</v>
      </c>
      <c r="E6" s="2">
        <v>30</v>
      </c>
      <c r="F6" s="2">
        <v>1</v>
      </c>
      <c r="G6" s="5">
        <f>(D6/'Costos de personal'!Q3/60)*E6</f>
        <v>3.5544016143091897</v>
      </c>
      <c r="H6" s="5"/>
    </row>
    <row r="7" spans="2:8" x14ac:dyDescent="0.2">
      <c r="B7" s="3" t="s">
        <v>113</v>
      </c>
      <c r="C7" s="5">
        <f>+'Costos de personal'!P4</f>
        <v>3102.24</v>
      </c>
      <c r="D7" s="10">
        <f>C7/$G$2</f>
        <v>802.19271867748103</v>
      </c>
      <c r="E7" s="2">
        <v>60</v>
      </c>
      <c r="F7" s="2">
        <v>1</v>
      </c>
      <c r="G7" s="5">
        <f>(D7/'Costos de personal'!Q4/60)*E7</f>
        <v>3.3424696611561711</v>
      </c>
      <c r="H7" s="5"/>
    </row>
    <row r="8" spans="2:8" x14ac:dyDescent="0.2">
      <c r="B8" s="11" t="s">
        <v>113</v>
      </c>
      <c r="C8" s="12">
        <f>+'Costos de personal'!P5</f>
        <v>6182.1558333333332</v>
      </c>
      <c r="D8" s="13">
        <f>C8/$G$2</f>
        <v>1598.6127428018192</v>
      </c>
      <c r="E8" s="14">
        <v>50</v>
      </c>
      <c r="F8" s="14">
        <v>1</v>
      </c>
      <c r="G8" s="12">
        <f>(D8/'Costos de personal'!Q5/60)*E8</f>
        <v>5.5507386902840947</v>
      </c>
      <c r="H8" s="5"/>
    </row>
    <row r="9" spans="2:8" ht="25.5" customHeight="1" x14ac:dyDescent="0.2">
      <c r="B9" s="14"/>
      <c r="C9" s="14"/>
      <c r="D9" s="14"/>
      <c r="E9" s="72" t="s">
        <v>5</v>
      </c>
      <c r="F9" s="72"/>
      <c r="G9" s="32">
        <f>+G8+G7+G6</f>
        <v>12.447609965749454</v>
      </c>
    </row>
    <row r="10" spans="2:8" x14ac:dyDescent="0.2">
      <c r="B10" s="16" t="s">
        <v>6</v>
      </c>
      <c r="E10" t="s">
        <v>7</v>
      </c>
      <c r="G10" s="18"/>
    </row>
    <row r="11" spans="2:8" ht="38.25" x14ac:dyDescent="0.2">
      <c r="B11" s="7" t="s">
        <v>1</v>
      </c>
      <c r="C11" s="8" t="s">
        <v>2</v>
      </c>
      <c r="D11" s="8" t="s">
        <v>93</v>
      </c>
      <c r="E11" s="8" t="s">
        <v>3</v>
      </c>
      <c r="F11" s="8" t="s">
        <v>4</v>
      </c>
      <c r="G11" s="9" t="s">
        <v>96</v>
      </c>
    </row>
    <row r="12" spans="2:8" x14ac:dyDescent="0.2">
      <c r="B12" s="2"/>
      <c r="C12" s="19"/>
      <c r="D12" s="19"/>
      <c r="E12" s="19"/>
      <c r="F12" s="19"/>
      <c r="G12" s="20"/>
    </row>
    <row r="13" spans="2:8" x14ac:dyDescent="0.2">
      <c r="B13" s="2"/>
      <c r="C13" s="19"/>
      <c r="D13" s="19"/>
      <c r="E13" s="19"/>
      <c r="F13" s="19"/>
      <c r="G13" s="20"/>
    </row>
    <row r="14" spans="2:8" x14ac:dyDescent="0.2">
      <c r="B14" s="3" t="s">
        <v>113</v>
      </c>
      <c r="C14" s="5">
        <f>+'Costos de personal'!P6</f>
        <v>5528.1108333333332</v>
      </c>
      <c r="D14" s="10">
        <f t="shared" ref="D14:D25" si="0">C14/$G$2</f>
        <v>1429.4865189482769</v>
      </c>
      <c r="E14" s="5">
        <f>180+60+(0.17*60)</f>
        <v>250.2</v>
      </c>
      <c r="F14" s="2">
        <v>2</v>
      </c>
      <c r="G14" s="5">
        <f>((D14/'Costos de personal'!Q6/60)*E14)*2</f>
        <v>49.67465653345262</v>
      </c>
      <c r="H14" s="5"/>
    </row>
    <row r="15" spans="2:8" x14ac:dyDescent="0.2">
      <c r="B15" s="3" t="s">
        <v>113</v>
      </c>
      <c r="C15" s="5">
        <f>+'Costos de personal'!P6</f>
        <v>5528.1108333333332</v>
      </c>
      <c r="D15" s="10">
        <f t="shared" si="0"/>
        <v>1429.4865189482769</v>
      </c>
      <c r="E15" s="5">
        <f>120+60+(0.17*60)</f>
        <v>190.2</v>
      </c>
      <c r="F15" s="2">
        <v>2</v>
      </c>
      <c r="G15" s="5">
        <f>((D15/'Costos de personal'!Q6/60)*E15)*2</f>
        <v>37.762268875550312</v>
      </c>
      <c r="H15" s="5"/>
    </row>
    <row r="16" spans="2:8" x14ac:dyDescent="0.2">
      <c r="B16" s="3" t="s">
        <v>113</v>
      </c>
      <c r="C16" s="5">
        <f>+'Costos de personal'!P6</f>
        <v>5528.1108333333332</v>
      </c>
      <c r="D16" s="10">
        <f t="shared" si="0"/>
        <v>1429.4865189482769</v>
      </c>
      <c r="E16" s="5">
        <f>60+60+(0.17*60)</f>
        <v>130.19999999999999</v>
      </c>
      <c r="F16" s="2">
        <v>2</v>
      </c>
      <c r="G16" s="5">
        <f>((D16/'Costos de personal'!Q6/60)*E16)*2</f>
        <v>25.849881217648004</v>
      </c>
      <c r="H16" s="5"/>
    </row>
    <row r="17" spans="2:8" x14ac:dyDescent="0.2">
      <c r="B17" s="3" t="s">
        <v>113</v>
      </c>
      <c r="C17" s="5">
        <f>+'Costos de personal'!P7</f>
        <v>8032.61</v>
      </c>
      <c r="D17" s="10">
        <f t="shared" si="0"/>
        <v>2077.1124264969576</v>
      </c>
      <c r="E17" s="5">
        <f>4*60</f>
        <v>240</v>
      </c>
      <c r="F17" s="2">
        <v>1</v>
      </c>
      <c r="G17" s="5">
        <f>((D17/'Costos de personal'!Q7/60)*E17)</f>
        <v>34.618540441615963</v>
      </c>
      <c r="H17" s="5"/>
    </row>
    <row r="18" spans="2:8" x14ac:dyDescent="0.2">
      <c r="B18" s="3" t="s">
        <v>113</v>
      </c>
      <c r="C18" s="5">
        <f>+'Costos de personal'!P7</f>
        <v>8032.61</v>
      </c>
      <c r="D18" s="10">
        <f t="shared" si="0"/>
        <v>2077.1124264969576</v>
      </c>
      <c r="E18" s="5">
        <f>120+60</f>
        <v>180</v>
      </c>
      <c r="F18" s="2">
        <v>1</v>
      </c>
      <c r="G18" s="5">
        <f>((D18/'Costos de personal'!Q7/60)*E18)</f>
        <v>25.963905331211972</v>
      </c>
      <c r="H18" s="5"/>
    </row>
    <row r="19" spans="2:8" x14ac:dyDescent="0.2">
      <c r="B19" s="3" t="s">
        <v>113</v>
      </c>
      <c r="C19" s="5">
        <f>+'Costos de personal'!P7</f>
        <v>8032.61</v>
      </c>
      <c r="D19" s="10">
        <f t="shared" si="0"/>
        <v>2077.1124264969576</v>
      </c>
      <c r="E19" s="5">
        <f>60+60</f>
        <v>120</v>
      </c>
      <c r="F19" s="2">
        <v>1</v>
      </c>
      <c r="G19" s="5">
        <f>((D19/'Costos de personal'!Q7/60)*E19)</f>
        <v>17.309270220807981</v>
      </c>
      <c r="H19" s="5"/>
    </row>
    <row r="20" spans="2:8" x14ac:dyDescent="0.2">
      <c r="B20" s="3" t="s">
        <v>113</v>
      </c>
      <c r="C20" s="5">
        <f>+'Costos de personal'!P8</f>
        <v>4233.5133333333333</v>
      </c>
      <c r="D20" s="10">
        <f t="shared" si="0"/>
        <v>1094.7230293027078</v>
      </c>
      <c r="E20" s="5">
        <v>90</v>
      </c>
      <c r="F20" s="2">
        <v>1</v>
      </c>
      <c r="G20" s="5">
        <f>((D20/'Costos de personal'!Q8/60)*E20)</f>
        <v>6.842018933141925</v>
      </c>
      <c r="H20" s="5"/>
    </row>
    <row r="21" spans="2:8" x14ac:dyDescent="0.2">
      <c r="B21" s="3" t="s">
        <v>113</v>
      </c>
      <c r="C21" s="5">
        <f>+'Costos de personal'!P8</f>
        <v>4233.5133333333333</v>
      </c>
      <c r="D21" s="10">
        <f t="shared" si="0"/>
        <v>1094.7230293027078</v>
      </c>
      <c r="E21" s="5">
        <f>E20*12/13</f>
        <v>83.07692307692308</v>
      </c>
      <c r="F21" s="2">
        <v>1</v>
      </c>
      <c r="G21" s="5">
        <f>((D21/'Costos de personal'!Q8/60)*E21)</f>
        <v>6.3157097844386998</v>
      </c>
      <c r="H21" s="5"/>
    </row>
    <row r="22" spans="2:8" x14ac:dyDescent="0.2">
      <c r="B22" s="3" t="s">
        <v>113</v>
      </c>
      <c r="C22" s="5">
        <f>+'Costos de personal'!P8</f>
        <v>4233.5133333333333</v>
      </c>
      <c r="D22" s="10">
        <f t="shared" si="0"/>
        <v>1094.7230293027078</v>
      </c>
      <c r="E22" s="5">
        <f>E20/13</f>
        <v>6.9230769230769234</v>
      </c>
      <c r="F22" s="2">
        <v>1</v>
      </c>
      <c r="G22" s="5">
        <f>((D22/'Costos de personal'!Q8/60)*E22)</f>
        <v>0.52630914870322498</v>
      </c>
      <c r="H22" s="5"/>
    </row>
    <row r="23" spans="2:8" x14ac:dyDescent="0.2">
      <c r="B23" s="3" t="s">
        <v>113</v>
      </c>
      <c r="C23" s="5">
        <f>+'Costos de personal'!P9</f>
        <v>3959.9141666666669</v>
      </c>
      <c r="D23" s="10">
        <f t="shared" si="0"/>
        <v>1023.9743898240644</v>
      </c>
      <c r="E23" s="5">
        <v>8</v>
      </c>
      <c r="F23" s="2">
        <v>1</v>
      </c>
      <c r="G23" s="5">
        <f>((D23/'Costos de personal'!Q9/60)*E23)</f>
        <v>0.56887466101336914</v>
      </c>
      <c r="H23" s="5"/>
    </row>
    <row r="24" spans="2:8" x14ac:dyDescent="0.2">
      <c r="B24" s="3" t="s">
        <v>113</v>
      </c>
      <c r="C24" s="5">
        <f>+'Costos de personal'!P10</f>
        <v>8578.4466666666685</v>
      </c>
      <c r="D24" s="10">
        <f t="shared" si="0"/>
        <v>2218.2575988843901</v>
      </c>
      <c r="E24" s="5">
        <v>5</v>
      </c>
      <c r="F24" s="2">
        <v>1</v>
      </c>
      <c r="G24" s="5">
        <f>((D24/'Costos de personal'!Q10/60)*E24)</f>
        <v>0.77022833294596871</v>
      </c>
      <c r="H24" s="5"/>
    </row>
    <row r="25" spans="2:8" x14ac:dyDescent="0.2">
      <c r="B25" s="11" t="s">
        <v>113</v>
      </c>
      <c r="C25" s="12">
        <f>+'Costos de personal'!P11</f>
        <v>4304.2733333333326</v>
      </c>
      <c r="D25" s="13">
        <f t="shared" si="0"/>
        <v>1113.0205036353248</v>
      </c>
      <c r="E25" s="12">
        <v>85</v>
      </c>
      <c r="F25" s="14">
        <v>1</v>
      </c>
      <c r="G25" s="12">
        <f>((D25/'Costos de personal'!Q11/60)*E25)</f>
        <v>6.5699126950696254</v>
      </c>
      <c r="H25" s="5"/>
    </row>
    <row r="26" spans="2:8" ht="27" customHeight="1" x14ac:dyDescent="0.2">
      <c r="B26" s="21"/>
      <c r="C26" s="22"/>
      <c r="D26" s="22"/>
      <c r="E26" s="72" t="s">
        <v>8</v>
      </c>
      <c r="F26" s="72"/>
      <c r="G26" s="32">
        <f>+G25+G23+G20+G17+G24+G14</f>
        <v>99.044231597239474</v>
      </c>
      <c r="H26" s="5"/>
    </row>
    <row r="27" spans="2:8" ht="12.75" customHeight="1" x14ac:dyDescent="0.2">
      <c r="B27" s="73"/>
      <c r="C27" s="73"/>
      <c r="D27" s="8"/>
      <c r="E27" s="72" t="s">
        <v>9</v>
      </c>
      <c r="F27" s="72"/>
      <c r="G27" s="32">
        <f>+G15+G18+G21+G23+G25+G24</f>
        <v>77.950899680229938</v>
      </c>
      <c r="H27" s="5"/>
    </row>
    <row r="28" spans="2:8" ht="12.75" customHeight="1" x14ac:dyDescent="0.2">
      <c r="B28" s="73"/>
      <c r="C28" s="73"/>
      <c r="D28" s="8"/>
      <c r="E28" s="72" t="s">
        <v>10</v>
      </c>
      <c r="F28" s="72"/>
      <c r="G28" s="32">
        <f>+G16+G19+G22+G23+G25+G24</f>
        <v>51.594476276188175</v>
      </c>
      <c r="H28" s="5"/>
    </row>
    <row r="29" spans="2:8" x14ac:dyDescent="0.2">
      <c r="B29" s="4" t="s">
        <v>11</v>
      </c>
      <c r="G29" s="20"/>
      <c r="H29" s="5"/>
    </row>
    <row r="30" spans="2:8" ht="38.25" x14ac:dyDescent="0.2">
      <c r="B30" s="7" t="s">
        <v>1</v>
      </c>
      <c r="C30" s="8" t="s">
        <v>2</v>
      </c>
      <c r="D30" s="8" t="s">
        <v>93</v>
      </c>
      <c r="E30" s="8" t="s">
        <v>3</v>
      </c>
      <c r="F30" s="8" t="s">
        <v>4</v>
      </c>
      <c r="G30" s="9" t="s">
        <v>96</v>
      </c>
    </row>
    <row r="31" spans="2:8" x14ac:dyDescent="0.2">
      <c r="B31" s="3" t="s">
        <v>113</v>
      </c>
      <c r="C31" s="18">
        <f>+'Costos de personal'!P12</f>
        <v>9264.69</v>
      </c>
      <c r="D31" s="24">
        <f>+C31/$G$2</f>
        <v>2395.7098286412634</v>
      </c>
      <c r="E31" s="19">
        <v>25</v>
      </c>
      <c r="F31" s="19">
        <v>1</v>
      </c>
      <c r="G31" s="5">
        <f>(D31/'Costos de personal'!Q12/60)*E31</f>
        <v>1.3864061508340646</v>
      </c>
    </row>
    <row r="32" spans="2:8" x14ac:dyDescent="0.2">
      <c r="B32" s="21" t="s">
        <v>113</v>
      </c>
      <c r="C32" s="33">
        <f>+'Costos de personal'!P13</f>
        <v>3838.99</v>
      </c>
      <c r="D32" s="25">
        <f>+C32/$G$2</f>
        <v>992.70521464350372</v>
      </c>
      <c r="E32" s="22">
        <v>20</v>
      </c>
      <c r="F32" s="22">
        <v>1</v>
      </c>
      <c r="G32" s="12">
        <f>(D32/'Costos de personal'!Q13/60)*E32</f>
        <v>1.3787572425604218</v>
      </c>
    </row>
    <row r="33" spans="2:11" ht="38.25" customHeight="1" x14ac:dyDescent="0.2">
      <c r="B33" s="21"/>
      <c r="C33" s="22"/>
      <c r="D33" s="25"/>
      <c r="E33" s="74" t="s">
        <v>114</v>
      </c>
      <c r="F33" s="74"/>
      <c r="G33" s="32">
        <f>+G31+G32</f>
        <v>2.7651633933944861</v>
      </c>
    </row>
    <row r="34" spans="2:11" x14ac:dyDescent="0.2">
      <c r="B34" s="26"/>
      <c r="C34" s="27"/>
      <c r="D34" s="27"/>
      <c r="E34" s="73"/>
      <c r="F34" s="73"/>
      <c r="G34" s="28"/>
    </row>
    <row r="35" spans="2:11" ht="12.75" customHeight="1" x14ac:dyDescent="0.2">
      <c r="B35" s="26"/>
      <c r="C35" s="27"/>
      <c r="D35" s="70" t="s">
        <v>12</v>
      </c>
      <c r="E35" s="70"/>
      <c r="F35" s="70"/>
      <c r="G35" s="29">
        <f>+G33+G26+G9</f>
        <v>114.25700495638341</v>
      </c>
    </row>
    <row r="36" spans="2:11" x14ac:dyDescent="0.2">
      <c r="B36" s="21"/>
      <c r="C36" s="22"/>
      <c r="D36" s="70" t="s">
        <v>13</v>
      </c>
      <c r="E36" s="70"/>
      <c r="F36" s="70"/>
      <c r="G36" s="29">
        <f>+G33+G27+G9</f>
        <v>93.163673039373876</v>
      </c>
    </row>
    <row r="37" spans="2:11" x14ac:dyDescent="0.2">
      <c r="B37" s="21"/>
      <c r="C37" s="22"/>
      <c r="D37" s="70" t="s">
        <v>14</v>
      </c>
      <c r="E37" s="70"/>
      <c r="F37" s="70"/>
      <c r="G37" s="29">
        <f>+G33+G28+G9</f>
        <v>66.807249635332113</v>
      </c>
    </row>
    <row r="38" spans="2:11" x14ac:dyDescent="0.2">
      <c r="B38" s="21"/>
      <c r="C38" s="22"/>
      <c r="D38" s="22"/>
      <c r="E38" s="21"/>
      <c r="F38" s="11"/>
      <c r="G38" s="30"/>
      <c r="H38" s="17"/>
      <c r="I38" s="17"/>
      <c r="J38" s="2"/>
    </row>
    <row r="39" spans="2:11" ht="38.25" x14ac:dyDescent="0.2">
      <c r="B39" s="31" t="s">
        <v>15</v>
      </c>
      <c r="C39" s="27"/>
      <c r="D39" s="15" t="s">
        <v>16</v>
      </c>
      <c r="E39" s="15" t="s">
        <v>17</v>
      </c>
      <c r="F39" s="8" t="s">
        <v>18</v>
      </c>
      <c r="G39" s="9" t="s">
        <v>95</v>
      </c>
      <c r="I39" s="17"/>
      <c r="J39" s="17"/>
    </row>
    <row r="40" spans="2:11" x14ac:dyDescent="0.2">
      <c r="B40" s="26" t="s">
        <v>19</v>
      </c>
      <c r="C40" s="27"/>
      <c r="D40" s="27">
        <v>0.24</v>
      </c>
      <c r="E40" s="23">
        <v>1.5</v>
      </c>
      <c r="F40" s="28">
        <f>75.7378/G2</f>
        <v>19.584658726807508</v>
      </c>
      <c r="G40" s="32">
        <f>E40*F40*D40</f>
        <v>7.0504771416507026</v>
      </c>
      <c r="I40" s="5"/>
      <c r="J40" s="17"/>
      <c r="K40" s="17"/>
    </row>
    <row r="41" spans="2:11" x14ac:dyDescent="0.2">
      <c r="B41" s="26" t="s">
        <v>20</v>
      </c>
      <c r="C41" s="27"/>
      <c r="D41" s="28">
        <f>0.24</f>
        <v>0.24</v>
      </c>
      <c r="E41" s="23">
        <f>1.5*12/13</f>
        <v>1.3846153846153846</v>
      </c>
      <c r="F41" s="28">
        <f>75.7378/G2</f>
        <v>19.584658726807508</v>
      </c>
      <c r="G41" s="32">
        <f>E41*F41*D41</f>
        <v>6.5081327461391094</v>
      </c>
    </row>
    <row r="42" spans="2:11" x14ac:dyDescent="0.2">
      <c r="B42" s="21" t="s">
        <v>21</v>
      </c>
      <c r="C42" s="22"/>
      <c r="D42" s="33">
        <f>0.24</f>
        <v>0.24</v>
      </c>
      <c r="E42" s="23">
        <f>1.5/13</f>
        <v>0.11538461538461539</v>
      </c>
      <c r="F42" s="28">
        <f>75.7378/G2</f>
        <v>19.584658726807508</v>
      </c>
      <c r="G42" s="32">
        <f>E42*F42*D42</f>
        <v>0.54234439551159253</v>
      </c>
    </row>
    <row r="43" spans="2:11" x14ac:dyDescent="0.2">
      <c r="E43" s="5"/>
      <c r="F43" s="17"/>
      <c r="G43" s="34"/>
      <c r="H43" s="5"/>
    </row>
    <row r="44" spans="2:11" x14ac:dyDescent="0.2">
      <c r="E44" s="5"/>
      <c r="F44" s="17"/>
      <c r="G44" s="34"/>
      <c r="H44" s="5"/>
    </row>
    <row r="45" spans="2:11" x14ac:dyDescent="0.2">
      <c r="B45" s="31" t="s">
        <v>22</v>
      </c>
      <c r="C45" s="22"/>
      <c r="D45" s="22"/>
      <c r="E45" s="12"/>
      <c r="F45" s="17"/>
      <c r="G45" s="34"/>
      <c r="H45" s="5"/>
    </row>
    <row r="46" spans="2:11" x14ac:dyDescent="0.2">
      <c r="B46" s="7" t="s">
        <v>23</v>
      </c>
      <c r="C46" s="27"/>
      <c r="D46" s="27"/>
      <c r="E46" s="23"/>
      <c r="F46" s="7" t="s">
        <v>24</v>
      </c>
      <c r="G46" s="60" t="s">
        <v>94</v>
      </c>
      <c r="H46" s="5"/>
    </row>
    <row r="47" spans="2:11" x14ac:dyDescent="0.2">
      <c r="B47" s="17">
        <v>250</v>
      </c>
      <c r="E47" s="61"/>
      <c r="F47" s="17">
        <v>397.49</v>
      </c>
      <c r="G47" s="18">
        <f>F47/B47</f>
        <v>1.58996</v>
      </c>
      <c r="H47" s="5"/>
    </row>
    <row r="48" spans="2:11" x14ac:dyDescent="0.2">
      <c r="B48" s="17">
        <v>500</v>
      </c>
      <c r="E48" s="62"/>
      <c r="F48" s="17">
        <v>775.72</v>
      </c>
      <c r="G48" s="18">
        <f>F48/B48</f>
        <v>1.5514400000000002</v>
      </c>
      <c r="H48" s="5"/>
    </row>
    <row r="49" spans="2:8" x14ac:dyDescent="0.2">
      <c r="B49" s="17">
        <v>750</v>
      </c>
      <c r="E49" s="62"/>
      <c r="F49" s="17">
        <v>397.49</v>
      </c>
      <c r="G49" s="18">
        <f>F49/B49</f>
        <v>0.52998666666666672</v>
      </c>
      <c r="H49" s="5"/>
    </row>
    <row r="50" spans="2:8" x14ac:dyDescent="0.2">
      <c r="B50" s="17">
        <v>1000</v>
      </c>
      <c r="E50" s="62"/>
      <c r="F50" s="17">
        <v>775.72</v>
      </c>
      <c r="G50" s="18">
        <f>F50/B50</f>
        <v>0.77572000000000008</v>
      </c>
      <c r="H50" s="5"/>
    </row>
    <row r="51" spans="2:8" x14ac:dyDescent="0.2">
      <c r="B51" s="17">
        <v>2000</v>
      </c>
      <c r="E51" s="62"/>
      <c r="F51" s="17">
        <v>775.72</v>
      </c>
      <c r="G51" s="18">
        <f>F51/B51</f>
        <v>0.38786000000000004</v>
      </c>
      <c r="H51" s="5"/>
    </row>
    <row r="52" spans="2:8" x14ac:dyDescent="0.2">
      <c r="B52" s="17">
        <v>5000</v>
      </c>
      <c r="E52" s="62"/>
      <c r="F52" s="17" t="s">
        <v>26</v>
      </c>
      <c r="G52" s="17" t="s">
        <v>26</v>
      </c>
      <c r="H52" s="5"/>
    </row>
    <row r="53" spans="2:8" x14ac:dyDescent="0.2">
      <c r="B53" s="22">
        <v>6000</v>
      </c>
      <c r="C53" s="22"/>
      <c r="D53" s="22"/>
      <c r="E53" s="63"/>
      <c r="F53" s="22" t="s">
        <v>26</v>
      </c>
      <c r="G53" s="22" t="s">
        <v>26</v>
      </c>
      <c r="H53" s="5"/>
    </row>
    <row r="54" spans="2:8" x14ac:dyDescent="0.2">
      <c r="B54" s="26"/>
      <c r="C54" s="27"/>
      <c r="D54" s="27"/>
      <c r="E54" s="75" t="s">
        <v>94</v>
      </c>
      <c r="F54" s="75"/>
      <c r="G54" s="32">
        <f>AVERAGE(G47:G51)</f>
        <v>0.96699333333333326</v>
      </c>
      <c r="H54" s="5"/>
    </row>
    <row r="55" spans="2:8" x14ac:dyDescent="0.2">
      <c r="B55" s="21"/>
      <c r="C55" s="22"/>
      <c r="D55" s="33"/>
      <c r="E55" s="12"/>
      <c r="F55" s="22"/>
      <c r="G55" s="33"/>
      <c r="H55" s="5"/>
    </row>
    <row r="56" spans="2:8" ht="38.25" x14ac:dyDescent="0.2">
      <c r="B56" s="26"/>
      <c r="C56" s="27"/>
      <c r="D56" s="27"/>
      <c r="E56" s="7" t="s">
        <v>25</v>
      </c>
      <c r="F56" s="23" t="s">
        <v>17</v>
      </c>
      <c r="G56" s="9" t="s">
        <v>99</v>
      </c>
      <c r="H56" s="5"/>
    </row>
    <row r="57" spans="2:8" x14ac:dyDescent="0.2">
      <c r="B57" t="s">
        <v>27</v>
      </c>
      <c r="E57" s="18">
        <f>+G54</f>
        <v>0.96699333333333326</v>
      </c>
      <c r="F57" s="18">
        <v>1.5</v>
      </c>
      <c r="G57" s="18">
        <f>E57*F57</f>
        <v>1.4504899999999998</v>
      </c>
      <c r="H57" s="5"/>
    </row>
    <row r="58" spans="2:8" x14ac:dyDescent="0.2">
      <c r="B58" t="s">
        <v>28</v>
      </c>
      <c r="E58" s="18">
        <f>+G54</f>
        <v>0.96699333333333326</v>
      </c>
      <c r="F58" s="18">
        <f>1.5*12/13</f>
        <v>1.3846153846153846</v>
      </c>
      <c r="G58" s="18">
        <f>E58*F58</f>
        <v>1.3389138461538461</v>
      </c>
      <c r="H58" s="5"/>
    </row>
    <row r="59" spans="2:8" x14ac:dyDescent="0.2">
      <c r="B59" s="21" t="s">
        <v>29</v>
      </c>
      <c r="C59" s="22"/>
      <c r="D59" s="22"/>
      <c r="E59" s="33">
        <f>+G54</f>
        <v>0.96699333333333326</v>
      </c>
      <c r="F59" s="33">
        <f>1.5/13</f>
        <v>0.11538461538461539</v>
      </c>
      <c r="G59" s="33">
        <f>E59*F59</f>
        <v>0.11157615384615384</v>
      </c>
      <c r="H59" s="5"/>
    </row>
    <row r="60" spans="2:8" x14ac:dyDescent="0.2">
      <c r="B60" s="35"/>
      <c r="C60" s="35"/>
      <c r="D60" s="70" t="s">
        <v>30</v>
      </c>
      <c r="E60" s="70"/>
      <c r="F60" s="70"/>
      <c r="G60" s="29">
        <f>+G57+G40</f>
        <v>8.5009671416507029</v>
      </c>
    </row>
    <row r="61" spans="2:8" x14ac:dyDescent="0.2">
      <c r="B61" s="35"/>
      <c r="C61" s="35"/>
      <c r="D61" s="70" t="s">
        <v>31</v>
      </c>
      <c r="E61" s="70"/>
      <c r="F61" s="70"/>
      <c r="G61" s="29">
        <f>+G58+G41</f>
        <v>7.8470465922929558</v>
      </c>
    </row>
    <row r="62" spans="2:8" x14ac:dyDescent="0.2">
      <c r="B62" s="35"/>
      <c r="C62" s="35"/>
      <c r="D62" s="70" t="s">
        <v>32</v>
      </c>
      <c r="E62" s="70"/>
      <c r="F62" s="70"/>
      <c r="G62" s="29">
        <f>+G59+G42</f>
        <v>0.65392054935774635</v>
      </c>
    </row>
    <row r="63" spans="2:8" x14ac:dyDescent="0.2">
      <c r="C63"/>
      <c r="D63"/>
      <c r="G63"/>
    </row>
    <row r="64" spans="2:8" x14ac:dyDescent="0.2">
      <c r="B64" s="21"/>
      <c r="C64" s="21"/>
      <c r="D64" s="21"/>
      <c r="E64" s="21"/>
      <c r="F64" s="21"/>
      <c r="G64" s="21"/>
    </row>
    <row r="65" spans="2:8" ht="38.25" x14ac:dyDescent="0.2">
      <c r="B65" s="31" t="s">
        <v>112</v>
      </c>
      <c r="C65" s="22"/>
      <c r="D65" s="27"/>
      <c r="E65" s="14" t="s">
        <v>33</v>
      </c>
      <c r="F65" s="15" t="s">
        <v>98</v>
      </c>
      <c r="G65" s="15" t="s">
        <v>100</v>
      </c>
      <c r="H65" s="36"/>
    </row>
    <row r="66" spans="2:8" x14ac:dyDescent="0.2">
      <c r="B66" s="36" t="s">
        <v>34</v>
      </c>
      <c r="E66" s="18">
        <v>1296.1199999999999</v>
      </c>
      <c r="F66" s="5">
        <f>(2500/12*6)/7</f>
        <v>178.57142857142858</v>
      </c>
      <c r="G66" s="5">
        <f t="shared" ref="G66:G72" si="1">E66/F66</f>
        <v>7.2582719999999989</v>
      </c>
    </row>
    <row r="67" spans="2:8" x14ac:dyDescent="0.2">
      <c r="B67" s="36" t="s">
        <v>35</v>
      </c>
      <c r="E67" s="18">
        <f>2550/2</f>
        <v>1275</v>
      </c>
      <c r="F67" s="5">
        <f>(2500/12*24)/7</f>
        <v>714.28571428571433</v>
      </c>
      <c r="G67" s="5">
        <f t="shared" si="1"/>
        <v>1.7849999999999999</v>
      </c>
    </row>
    <row r="68" spans="2:8" x14ac:dyDescent="0.2">
      <c r="B68" s="36" t="s">
        <v>36</v>
      </c>
      <c r="E68" s="18">
        <v>1200</v>
      </c>
      <c r="F68" s="5">
        <f>(2500/12*24)/7</f>
        <v>714.28571428571433</v>
      </c>
      <c r="G68" s="5">
        <f t="shared" si="1"/>
        <v>1.68</v>
      </c>
    </row>
    <row r="69" spans="2:8" x14ac:dyDescent="0.2">
      <c r="B69" s="36" t="s">
        <v>37</v>
      </c>
      <c r="E69" s="18">
        <v>550</v>
      </c>
      <c r="F69" s="5">
        <f>(2500/12*3)/7</f>
        <v>89.285714285714292</v>
      </c>
      <c r="G69" s="5">
        <f t="shared" si="1"/>
        <v>6.1599999999999993</v>
      </c>
    </row>
    <row r="70" spans="2:8" x14ac:dyDescent="0.2">
      <c r="B70" s="36" t="s">
        <v>38</v>
      </c>
      <c r="E70" s="18">
        <v>596</v>
      </c>
      <c r="F70" s="5">
        <f>(2500/12*3)/7</f>
        <v>89.285714285714292</v>
      </c>
      <c r="G70" s="5">
        <f t="shared" si="1"/>
        <v>6.6751999999999994</v>
      </c>
    </row>
    <row r="71" spans="2:8" x14ac:dyDescent="0.2">
      <c r="B71" s="36" t="s">
        <v>39</v>
      </c>
      <c r="E71" s="18">
        <v>80</v>
      </c>
      <c r="F71" s="5">
        <f>(2500/12*60)</f>
        <v>12500</v>
      </c>
      <c r="G71" s="5">
        <f t="shared" si="1"/>
        <v>6.4000000000000003E-3</v>
      </c>
    </row>
    <row r="72" spans="2:8" x14ac:dyDescent="0.2">
      <c r="B72" s="21" t="s">
        <v>40</v>
      </c>
      <c r="E72" s="33">
        <f>99.9/G2</f>
        <v>25.832641122505148</v>
      </c>
      <c r="F72" s="5">
        <f>(2500/12*60)/7</f>
        <v>1785.7142857142858</v>
      </c>
      <c r="G72" s="12">
        <f t="shared" si="1"/>
        <v>1.4466279028602883E-2</v>
      </c>
    </row>
    <row r="73" spans="2:8" x14ac:dyDescent="0.2">
      <c r="B73" s="26"/>
      <c r="C73" s="27"/>
      <c r="D73" s="7"/>
      <c r="E73" s="69" t="s">
        <v>41</v>
      </c>
      <c r="F73" s="69"/>
      <c r="G73" s="29">
        <f>SUM(G66:G72)</f>
        <v>23.579338279028601</v>
      </c>
    </row>
    <row r="74" spans="2:8" x14ac:dyDescent="0.2">
      <c r="B74" s="26"/>
      <c r="C74" s="26"/>
      <c r="D74" s="26"/>
      <c r="E74" s="26"/>
      <c r="F74" s="26"/>
      <c r="G74" s="26"/>
    </row>
    <row r="75" spans="2:8" ht="38.25" x14ac:dyDescent="0.2">
      <c r="B75" s="31" t="s">
        <v>42</v>
      </c>
      <c r="C75" s="7" t="s">
        <v>43</v>
      </c>
      <c r="D75" s="8" t="s">
        <v>44</v>
      </c>
      <c r="E75" s="15" t="s">
        <v>45</v>
      </c>
      <c r="F75" s="8" t="s">
        <v>46</v>
      </c>
      <c r="G75" s="15" t="s">
        <v>100</v>
      </c>
      <c r="H75" s="36"/>
    </row>
    <row r="76" spans="2:8" x14ac:dyDescent="0.2">
      <c r="B76" s="36" t="s">
        <v>47</v>
      </c>
      <c r="C76" s="5">
        <f>19812.9/G2</f>
        <v>5123.3186716324544</v>
      </c>
      <c r="D76" s="10">
        <v>6593</v>
      </c>
      <c r="E76" s="38">
        <f>(C76/D76)*(3/1000)</f>
        <v>2.3312537562410682E-3</v>
      </c>
      <c r="F76" s="17">
        <v>1</v>
      </c>
      <c r="G76" s="39">
        <f>+E76/F76</f>
        <v>2.3312537562410682E-3</v>
      </c>
    </row>
    <row r="77" spans="2:8" x14ac:dyDescent="0.2">
      <c r="B77" s="36" t="s">
        <v>48</v>
      </c>
      <c r="C77" s="18">
        <f>41.9/G2</f>
        <v>10.834711341671326</v>
      </c>
      <c r="D77" s="17">
        <v>0.75</v>
      </c>
      <c r="E77" s="18">
        <f>+C77*D77/4</f>
        <v>2.0315083765633739</v>
      </c>
      <c r="F77" s="17">
        <v>1</v>
      </c>
      <c r="G77" s="39">
        <f t="shared" ref="G77:G79" si="2">+E77/F77</f>
        <v>2.0315083765633739</v>
      </c>
    </row>
    <row r="78" spans="2:8" x14ac:dyDescent="0.2">
      <c r="B78" s="36" t="s">
        <v>49</v>
      </c>
      <c r="C78" s="18">
        <f>12.9/G2</f>
        <v>3.3357464512544182</v>
      </c>
      <c r="D78" s="17">
        <v>1</v>
      </c>
      <c r="E78" s="18">
        <f t="shared" ref="E78:E79" si="3">+C78</f>
        <v>3.3357464512544182</v>
      </c>
      <c r="F78" s="17">
        <v>1</v>
      </c>
      <c r="G78" s="39">
        <f t="shared" si="2"/>
        <v>3.3357464512544182</v>
      </c>
    </row>
    <row r="79" spans="2:8" x14ac:dyDescent="0.2">
      <c r="B79" s="35" t="s">
        <v>50</v>
      </c>
      <c r="C79" s="33">
        <f>42.9/G2</f>
        <v>11.0932963378926</v>
      </c>
      <c r="D79" s="22">
        <v>1</v>
      </c>
      <c r="E79" s="18">
        <f t="shared" si="3"/>
        <v>11.0932963378926</v>
      </c>
      <c r="F79" s="17">
        <v>1</v>
      </c>
      <c r="G79" s="40">
        <f t="shared" si="2"/>
        <v>11.0932963378926</v>
      </c>
    </row>
    <row r="80" spans="2:8" x14ac:dyDescent="0.2">
      <c r="B80" s="41"/>
      <c r="C80" s="41"/>
      <c r="D80" s="37"/>
      <c r="E80" s="69" t="s">
        <v>51</v>
      </c>
      <c r="F80" s="69"/>
      <c r="G80" s="40">
        <f>SUM(G76:G79)</f>
        <v>16.462882419466631</v>
      </c>
    </row>
    <row r="81" spans="2:7" x14ac:dyDescent="0.2">
      <c r="B81" s="36"/>
      <c r="C81" s="36"/>
      <c r="D81" s="36"/>
      <c r="E81" s="36"/>
      <c r="F81" s="36"/>
      <c r="G81" s="18"/>
    </row>
    <row r="82" spans="2:7" x14ac:dyDescent="0.2">
      <c r="B82" s="21"/>
      <c r="C82" s="22"/>
      <c r="D82" s="22"/>
      <c r="E82" s="21"/>
      <c r="F82" s="21"/>
      <c r="G82" s="33"/>
    </row>
    <row r="83" spans="2:7" ht="25.5" x14ac:dyDescent="0.2">
      <c r="B83" s="42" t="s">
        <v>52</v>
      </c>
      <c r="C83" s="14" t="s">
        <v>53</v>
      </c>
      <c r="D83" s="15" t="s">
        <v>54</v>
      </c>
      <c r="E83" s="15" t="s">
        <v>55</v>
      </c>
      <c r="F83" s="15" t="s">
        <v>56</v>
      </c>
      <c r="G83" s="9" t="s">
        <v>101</v>
      </c>
    </row>
    <row r="84" spans="2:7" x14ac:dyDescent="0.2">
      <c r="B84" t="s">
        <v>57</v>
      </c>
      <c r="C84" s="17" t="s">
        <v>58</v>
      </c>
      <c r="D84" s="17">
        <v>3.5</v>
      </c>
      <c r="E84" s="18">
        <f>+D84/$G$2</f>
        <v>0.90504748677445457</v>
      </c>
      <c r="F84" s="17">
        <v>13</v>
      </c>
      <c r="G84" s="18">
        <f>+F84*E84</f>
        <v>11.765617328067909</v>
      </c>
    </row>
    <row r="85" spans="2:7" x14ac:dyDescent="0.2">
      <c r="B85" s="21" t="s">
        <v>59</v>
      </c>
      <c r="C85" s="22" t="s">
        <v>60</v>
      </c>
      <c r="D85" s="22">
        <v>5.2</v>
      </c>
      <c r="E85" s="33">
        <f>+D85/$G$2</f>
        <v>1.3446419803506182</v>
      </c>
      <c r="F85" s="22">
        <v>90</v>
      </c>
      <c r="G85" s="33">
        <f>+F85*E85</f>
        <v>121.01777823155564</v>
      </c>
    </row>
    <row r="86" spans="2:7" x14ac:dyDescent="0.2">
      <c r="B86" s="21"/>
      <c r="C86" s="22"/>
      <c r="D86" s="69" t="s">
        <v>102</v>
      </c>
      <c r="E86" s="69"/>
      <c r="F86" s="69"/>
      <c r="G86" s="29">
        <f>+G85+G84</f>
        <v>132.78339555962356</v>
      </c>
    </row>
    <row r="87" spans="2:7" x14ac:dyDescent="0.2">
      <c r="B87" s="26"/>
      <c r="C87" s="27"/>
      <c r="D87" s="69" t="s">
        <v>103</v>
      </c>
      <c r="E87" s="69"/>
      <c r="F87" s="69"/>
      <c r="G87" s="64">
        <f>+G85</f>
        <v>121.01777823155564</v>
      </c>
    </row>
    <row r="88" spans="2:7" x14ac:dyDescent="0.2">
      <c r="B88" s="26"/>
      <c r="C88" s="27"/>
      <c r="D88" s="69" t="s">
        <v>104</v>
      </c>
      <c r="E88" s="69"/>
      <c r="F88" s="69"/>
      <c r="G88" s="64">
        <f>+G84</f>
        <v>11.765617328067909</v>
      </c>
    </row>
    <row r="90" spans="2:7" ht="25.5" x14ac:dyDescent="0.2">
      <c r="B90" s="43" t="s">
        <v>61</v>
      </c>
      <c r="C90" s="43" t="s">
        <v>62</v>
      </c>
      <c r="D90" s="43" t="s">
        <v>105</v>
      </c>
      <c r="E90" s="43" t="s">
        <v>106</v>
      </c>
      <c r="F90" s="43" t="s">
        <v>107</v>
      </c>
    </row>
    <row r="91" spans="2:7" x14ac:dyDescent="0.2">
      <c r="B91" s="44"/>
      <c r="C91" s="44"/>
      <c r="D91" s="45">
        <f>(D92+D93+D94+D95+D96)/0.96</f>
        <v>307.89957120432598</v>
      </c>
      <c r="E91" s="45">
        <f>(E92+E93+E94+E95+E96)/0.96</f>
        <v>271.24033183512262</v>
      </c>
      <c r="F91" s="45">
        <f>(F92+F93+F94+F95+F96)/0.96</f>
        <v>122.37917522005522</v>
      </c>
    </row>
    <row r="92" spans="2:7" x14ac:dyDescent="0.2">
      <c r="B92" s="65" t="s">
        <v>63</v>
      </c>
      <c r="C92" s="68" t="s">
        <v>62</v>
      </c>
      <c r="D92" s="45">
        <f>+G35</f>
        <v>114.25700495638341</v>
      </c>
      <c r="E92" s="45">
        <f>+G36</f>
        <v>93.163673039373876</v>
      </c>
      <c r="F92" s="45">
        <f>+G37</f>
        <v>66.807249635332113</v>
      </c>
    </row>
    <row r="93" spans="2:7" x14ac:dyDescent="0.2">
      <c r="B93" s="65" t="s">
        <v>108</v>
      </c>
      <c r="C93" s="68"/>
      <c r="D93" s="45">
        <f>+G60</f>
        <v>8.5009671416507029</v>
      </c>
      <c r="E93" s="45">
        <f>+G61</f>
        <v>7.8470465922929558</v>
      </c>
      <c r="F93" s="45">
        <f>+G62</f>
        <v>0.65392054935774635</v>
      </c>
    </row>
    <row r="94" spans="2:7" x14ac:dyDescent="0.2">
      <c r="B94" s="65" t="s">
        <v>110</v>
      </c>
      <c r="C94" s="68"/>
      <c r="D94" s="45">
        <f>+G73</f>
        <v>23.579338279028601</v>
      </c>
      <c r="E94" s="45">
        <f>+G73-G68</f>
        <v>21.899338279028601</v>
      </c>
      <c r="F94" s="45">
        <f>+G73-G67</f>
        <v>21.794338279028601</v>
      </c>
    </row>
    <row r="95" spans="2:7" x14ac:dyDescent="0.2">
      <c r="B95" s="65" t="s">
        <v>111</v>
      </c>
      <c r="C95" s="68"/>
      <c r="D95" s="45">
        <f>+G80</f>
        <v>16.462882419466631</v>
      </c>
      <c r="E95" s="45">
        <f>+G80</f>
        <v>16.462882419466631</v>
      </c>
      <c r="F95" s="45">
        <f>+G80</f>
        <v>16.462882419466631</v>
      </c>
    </row>
    <row r="96" spans="2:7" x14ac:dyDescent="0.2">
      <c r="B96" s="65" t="s">
        <v>64</v>
      </c>
      <c r="C96" s="68"/>
      <c r="D96" s="45">
        <f>+G86</f>
        <v>132.78339555962356</v>
      </c>
      <c r="E96" s="45">
        <f>+G85</f>
        <v>121.01777823155564</v>
      </c>
      <c r="F96" s="45">
        <f>+G84</f>
        <v>11.765617328067909</v>
      </c>
    </row>
    <row r="97" spans="2:6" x14ac:dyDescent="0.2">
      <c r="B97" s="65" t="s">
        <v>65</v>
      </c>
      <c r="C97" s="68"/>
      <c r="D97" s="66">
        <f>0.01*D91</f>
        <v>3.0789957120432598</v>
      </c>
      <c r="E97" s="66">
        <f>0.01*E91</f>
        <v>2.7124033183512264</v>
      </c>
      <c r="F97" s="66">
        <f>0.01*F91</f>
        <v>1.2237917522005521</v>
      </c>
    </row>
    <row r="98" spans="2:6" x14ac:dyDescent="0.2">
      <c r="B98" s="65" t="s">
        <v>66</v>
      </c>
      <c r="C98" s="68"/>
      <c r="D98" s="45">
        <f>0.03*D91</f>
        <v>9.2369871361297786</v>
      </c>
      <c r="E98" s="45">
        <f>0.03*E91</f>
        <v>8.1372099550536774</v>
      </c>
      <c r="F98" s="45">
        <f>0.03*F91</f>
        <v>3.6713752566016562</v>
      </c>
    </row>
    <row r="99" spans="2:6" ht="31.5" customHeight="1" x14ac:dyDescent="0.2">
      <c r="B99" s="71" t="s">
        <v>109</v>
      </c>
      <c r="C99" s="71"/>
      <c r="D99" s="67">
        <f>+D92+D93+D94+D95+D96+D97+D98</f>
        <v>307.89957120432592</v>
      </c>
      <c r="E99" s="67">
        <f>+E92+E93+E94+E95+E96+E97+E98</f>
        <v>271.24033183512256</v>
      </c>
      <c r="F99" s="67">
        <f>+F92+F93+F94+F95+F96+F97+F98</f>
        <v>122.3791752200552</v>
      </c>
    </row>
  </sheetData>
  <mergeCells count="22">
    <mergeCell ref="B99:C99"/>
    <mergeCell ref="E9:F9"/>
    <mergeCell ref="E26:F26"/>
    <mergeCell ref="B27:C27"/>
    <mergeCell ref="E27:F27"/>
    <mergeCell ref="B28:C28"/>
    <mergeCell ref="E28:F28"/>
    <mergeCell ref="E33:F33"/>
    <mergeCell ref="E34:F34"/>
    <mergeCell ref="D35:F35"/>
    <mergeCell ref="D36:F36"/>
    <mergeCell ref="D37:F37"/>
    <mergeCell ref="E54:F54"/>
    <mergeCell ref="D86:F86"/>
    <mergeCell ref="D87:F87"/>
    <mergeCell ref="D88:F88"/>
    <mergeCell ref="C92:C98"/>
    <mergeCell ref="E80:F80"/>
    <mergeCell ref="D60:F60"/>
    <mergeCell ref="D61:F61"/>
    <mergeCell ref="D62:F62"/>
    <mergeCell ref="E73:F7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A262A-F083-463D-B2E4-17A9C5DFF60D}">
  <dimension ref="B2:R14"/>
  <sheetViews>
    <sheetView zoomScale="85" zoomScaleNormal="85" workbookViewId="0">
      <selection activeCell="R12" sqref="R12"/>
    </sheetView>
  </sheetViews>
  <sheetFormatPr baseColWidth="10" defaultRowHeight="12.75" x14ac:dyDescent="0.2"/>
  <cols>
    <col min="1" max="1" width="3.28515625" customWidth="1"/>
    <col min="2" max="2" width="23.42578125" customWidth="1"/>
    <col min="3" max="18" width="19" customWidth="1"/>
  </cols>
  <sheetData>
    <row r="2" spans="2:18" ht="38.25" x14ac:dyDescent="0.2">
      <c r="B2" s="53" t="s">
        <v>88</v>
      </c>
      <c r="C2" s="54" t="s">
        <v>67</v>
      </c>
      <c r="D2" s="54" t="s">
        <v>68</v>
      </c>
      <c r="E2" s="54" t="s">
        <v>69</v>
      </c>
      <c r="F2" s="54" t="s">
        <v>70</v>
      </c>
      <c r="G2" s="54" t="s">
        <v>71</v>
      </c>
      <c r="H2" s="54" t="s">
        <v>72</v>
      </c>
      <c r="I2" s="54" t="s">
        <v>73</v>
      </c>
      <c r="J2" s="54" t="s">
        <v>74</v>
      </c>
      <c r="K2" s="54" t="s">
        <v>75</v>
      </c>
      <c r="L2" s="54" t="s">
        <v>76</v>
      </c>
      <c r="M2" s="54" t="s">
        <v>77</v>
      </c>
      <c r="N2" s="54" t="s">
        <v>78</v>
      </c>
      <c r="O2" s="54" t="s">
        <v>79</v>
      </c>
      <c r="P2" s="54" t="s">
        <v>80</v>
      </c>
      <c r="Q2" s="54" t="s">
        <v>81</v>
      </c>
      <c r="R2" s="54" t="s">
        <v>82</v>
      </c>
    </row>
    <row r="3" spans="2:18" x14ac:dyDescent="0.2">
      <c r="B3" s="51" t="s">
        <v>113</v>
      </c>
      <c r="C3" s="45">
        <v>4860</v>
      </c>
      <c r="D3" s="45">
        <f t="shared" ref="D3:D11" si="0">+C3*2/12</f>
        <v>810</v>
      </c>
      <c r="E3" s="45">
        <f t="shared" ref="E3:E11" si="1">C3/12</f>
        <v>405</v>
      </c>
      <c r="F3" s="45">
        <f>600/12</f>
        <v>50</v>
      </c>
      <c r="G3" s="45"/>
      <c r="H3" s="45"/>
      <c r="I3" s="45"/>
      <c r="J3" s="45"/>
      <c r="K3" s="45"/>
      <c r="L3" s="45"/>
      <c r="M3" s="45">
        <v>109.35</v>
      </c>
      <c r="N3" s="45">
        <v>328.05</v>
      </c>
      <c r="O3" s="45">
        <v>35.479999999999997</v>
      </c>
      <c r="P3" s="45">
        <f>SUM(C3:O3)-G3-H3</f>
        <v>6597.88</v>
      </c>
      <c r="Q3" s="45">
        <v>240</v>
      </c>
      <c r="R3" s="45">
        <f>+P3/Q3</f>
        <v>27.491166666666668</v>
      </c>
    </row>
    <row r="4" spans="2:18" x14ac:dyDescent="0.2">
      <c r="B4" s="51" t="s">
        <v>113</v>
      </c>
      <c r="C4" s="45">
        <v>2300</v>
      </c>
      <c r="D4" s="45">
        <f t="shared" si="0"/>
        <v>383.33333333333331</v>
      </c>
      <c r="E4" s="45">
        <f t="shared" si="1"/>
        <v>191.66666666666666</v>
      </c>
      <c r="F4" s="45"/>
      <c r="G4" s="45"/>
      <c r="H4" s="45"/>
      <c r="I4" s="45"/>
      <c r="J4" s="45"/>
      <c r="K4" s="45"/>
      <c r="L4" s="45"/>
      <c r="M4" s="45"/>
      <c r="N4" s="45">
        <v>207</v>
      </c>
      <c r="O4" s="45">
        <f>6.9+9.2+4.14</f>
        <v>20.240000000000002</v>
      </c>
      <c r="P4" s="45">
        <f t="shared" ref="P4:P13" si="2">SUM(C4:O4)-G4-H4</f>
        <v>3102.24</v>
      </c>
      <c r="Q4" s="45">
        <v>240</v>
      </c>
      <c r="R4" s="45">
        <f t="shared" ref="R4:R13" si="3">+P4/Q4</f>
        <v>12.925999999999998</v>
      </c>
    </row>
    <row r="5" spans="2:18" x14ac:dyDescent="0.2">
      <c r="B5" s="51" t="s">
        <v>113</v>
      </c>
      <c r="C5" s="45">
        <v>4587.21</v>
      </c>
      <c r="D5" s="45">
        <f t="shared" si="0"/>
        <v>764.53499999999997</v>
      </c>
      <c r="E5" s="45">
        <f t="shared" si="1"/>
        <v>382.26749999999998</v>
      </c>
      <c r="F5" s="45"/>
      <c r="G5" s="45"/>
      <c r="H5" s="45">
        <f>525/12</f>
        <v>43.75</v>
      </c>
      <c r="I5" s="45"/>
      <c r="J5" s="45">
        <f>10/12</f>
        <v>0.83333333333333337</v>
      </c>
      <c r="K5" s="45"/>
      <c r="L5" s="45"/>
      <c r="M5" s="45">
        <v>103.44</v>
      </c>
      <c r="N5" s="45">
        <v>310.31</v>
      </c>
      <c r="O5" s="45">
        <v>33.56</v>
      </c>
      <c r="P5" s="45">
        <f t="shared" si="2"/>
        <v>6182.1558333333332</v>
      </c>
      <c r="Q5" s="45">
        <v>240</v>
      </c>
      <c r="R5" s="45">
        <f t="shared" si="3"/>
        <v>25.758982638888888</v>
      </c>
    </row>
    <row r="6" spans="2:18" x14ac:dyDescent="0.2">
      <c r="B6" s="51" t="s">
        <v>113</v>
      </c>
      <c r="C6" s="45">
        <v>3962</v>
      </c>
      <c r="D6" s="45">
        <f t="shared" si="0"/>
        <v>660.33333333333337</v>
      </c>
      <c r="E6" s="45">
        <f t="shared" si="1"/>
        <v>330.16666666666669</v>
      </c>
      <c r="F6" s="45"/>
      <c r="G6" s="45"/>
      <c r="H6" s="45"/>
      <c r="I6" s="45">
        <v>102.5</v>
      </c>
      <c r="J6" s="45">
        <f>40/12</f>
        <v>3.3333333333333335</v>
      </c>
      <c r="K6" s="45">
        <f>299/12</f>
        <v>24.916666666666668</v>
      </c>
      <c r="L6" s="45">
        <f>264.13/12</f>
        <v>22.010833333333334</v>
      </c>
      <c r="M6" s="45">
        <v>98.23</v>
      </c>
      <c r="N6" s="45">
        <v>294.68</v>
      </c>
      <c r="O6" s="45">
        <v>29.94</v>
      </c>
      <c r="P6" s="45">
        <f t="shared" si="2"/>
        <v>5528.1108333333332</v>
      </c>
      <c r="Q6" s="45">
        <v>240</v>
      </c>
      <c r="R6" s="45">
        <f t="shared" si="3"/>
        <v>23.033795138888888</v>
      </c>
    </row>
    <row r="7" spans="2:18" x14ac:dyDescent="0.2">
      <c r="B7" s="51" t="s">
        <v>113</v>
      </c>
      <c r="C7" s="45">
        <v>5962</v>
      </c>
      <c r="D7" s="45">
        <f t="shared" si="0"/>
        <v>993.66666666666663</v>
      </c>
      <c r="E7" s="45">
        <f t="shared" si="1"/>
        <v>496.83333333333331</v>
      </c>
      <c r="F7" s="45"/>
      <c r="G7" s="45"/>
      <c r="H7" s="45"/>
      <c r="I7" s="45"/>
      <c r="J7" s="45"/>
      <c r="K7" s="45"/>
      <c r="L7" s="45"/>
      <c r="M7" s="45">
        <v>134.15</v>
      </c>
      <c r="N7" s="45">
        <v>402.44</v>
      </c>
      <c r="O7" s="45">
        <v>43.52</v>
      </c>
      <c r="P7" s="45">
        <f t="shared" si="2"/>
        <v>8032.61</v>
      </c>
      <c r="Q7" s="45">
        <v>240</v>
      </c>
      <c r="R7" s="45">
        <f t="shared" si="3"/>
        <v>33.469208333333334</v>
      </c>
    </row>
    <row r="8" spans="2:18" x14ac:dyDescent="0.2">
      <c r="B8" s="51" t="s">
        <v>113</v>
      </c>
      <c r="C8" s="45">
        <v>3012</v>
      </c>
      <c r="D8" s="45">
        <f t="shared" si="0"/>
        <v>502</v>
      </c>
      <c r="E8" s="45">
        <f t="shared" si="1"/>
        <v>251</v>
      </c>
      <c r="F8" s="45"/>
      <c r="G8" s="45"/>
      <c r="H8" s="45"/>
      <c r="I8" s="45">
        <v>102.5</v>
      </c>
      <c r="J8" s="45">
        <f>30/12</f>
        <v>2.5</v>
      </c>
      <c r="K8" s="45">
        <f>273/12</f>
        <v>22.75</v>
      </c>
      <c r="L8" s="45">
        <f>200.8/12</f>
        <v>16.733333333333334</v>
      </c>
      <c r="M8" s="45">
        <v>75.27</v>
      </c>
      <c r="N8" s="45">
        <v>225.81</v>
      </c>
      <c r="O8" s="45">
        <v>22.95</v>
      </c>
      <c r="P8" s="45">
        <f t="shared" si="2"/>
        <v>4233.5133333333333</v>
      </c>
      <c r="Q8" s="45">
        <v>240</v>
      </c>
      <c r="R8" s="45">
        <f t="shared" si="3"/>
        <v>17.639638888888889</v>
      </c>
    </row>
    <row r="9" spans="2:18" x14ac:dyDescent="0.2">
      <c r="B9" s="51" t="s">
        <v>113</v>
      </c>
      <c r="C9" s="45">
        <v>2762</v>
      </c>
      <c r="D9" s="45">
        <f t="shared" si="0"/>
        <v>460.33333333333331</v>
      </c>
      <c r="E9" s="45">
        <f t="shared" si="1"/>
        <v>230.16666666666666</v>
      </c>
      <c r="F9" s="45"/>
      <c r="G9" s="45">
        <f>690.5/12</f>
        <v>57.541666666666664</v>
      </c>
      <c r="H9" s="45">
        <f>750/12</f>
        <v>62.5</v>
      </c>
      <c r="I9" s="45">
        <v>102.5</v>
      </c>
      <c r="J9" s="45">
        <f>40/12</f>
        <v>3.3333333333333335</v>
      </c>
      <c r="K9" s="45">
        <f>299/12</f>
        <v>24.916666666666668</v>
      </c>
      <c r="L9" s="45">
        <f>184.13/12</f>
        <v>15.344166666666666</v>
      </c>
      <c r="M9" s="45">
        <v>85.03</v>
      </c>
      <c r="N9" s="45">
        <v>255.09</v>
      </c>
      <c r="O9" s="45">
        <v>21.2</v>
      </c>
      <c r="P9" s="45">
        <f t="shared" si="2"/>
        <v>3959.9141666666669</v>
      </c>
      <c r="Q9" s="45">
        <v>240</v>
      </c>
      <c r="R9" s="45">
        <f t="shared" si="3"/>
        <v>16.49964236111111</v>
      </c>
    </row>
    <row r="10" spans="2:18" x14ac:dyDescent="0.2">
      <c r="B10" s="51" t="s">
        <v>113</v>
      </c>
      <c r="C10" s="45">
        <v>6306.04</v>
      </c>
      <c r="D10" s="45">
        <f t="shared" si="0"/>
        <v>1051.0066666666667</v>
      </c>
      <c r="E10" s="45">
        <f t="shared" si="1"/>
        <v>525.50333333333333</v>
      </c>
      <c r="F10" s="45">
        <f>600/12</f>
        <v>50</v>
      </c>
      <c r="G10" s="45"/>
      <c r="H10" s="45">
        <f>750/12</f>
        <v>62.5</v>
      </c>
      <c r="I10" s="45"/>
      <c r="J10" s="45">
        <f>35/12</f>
        <v>2.9166666666666665</v>
      </c>
      <c r="K10" s="45">
        <f>312/12</f>
        <v>26</v>
      </c>
      <c r="L10" s="45"/>
      <c r="M10" s="45">
        <v>142.66999999999999</v>
      </c>
      <c r="N10" s="45">
        <v>428.02</v>
      </c>
      <c r="O10" s="45">
        <v>46.29</v>
      </c>
      <c r="P10" s="45">
        <f t="shared" si="2"/>
        <v>8578.4466666666685</v>
      </c>
      <c r="Q10" s="45">
        <v>240</v>
      </c>
      <c r="R10" s="45">
        <f t="shared" si="3"/>
        <v>35.743527777777786</v>
      </c>
    </row>
    <row r="11" spans="2:18" x14ac:dyDescent="0.2">
      <c r="B11" s="51" t="s">
        <v>113</v>
      </c>
      <c r="C11" s="45">
        <v>3012</v>
      </c>
      <c r="D11" s="45">
        <f t="shared" si="0"/>
        <v>502</v>
      </c>
      <c r="E11" s="45">
        <f t="shared" si="1"/>
        <v>251</v>
      </c>
      <c r="F11" s="45"/>
      <c r="G11" s="45"/>
      <c r="H11" s="45"/>
      <c r="I11" s="45">
        <v>102.5</v>
      </c>
      <c r="J11" s="45">
        <f>40/12</f>
        <v>3.3333333333333335</v>
      </c>
      <c r="K11" s="45">
        <f>312/12</f>
        <v>26</v>
      </c>
      <c r="L11" s="45">
        <f>602.4/12</f>
        <v>50.199999999999996</v>
      </c>
      <c r="M11" s="45">
        <v>83.63</v>
      </c>
      <c r="N11" s="45">
        <v>250.88</v>
      </c>
      <c r="O11" s="45">
        <v>22.73</v>
      </c>
      <c r="P11" s="45">
        <f t="shared" si="2"/>
        <v>4304.2733333333326</v>
      </c>
      <c r="Q11" s="45">
        <v>240</v>
      </c>
      <c r="R11" s="45">
        <f t="shared" si="3"/>
        <v>17.934472222222219</v>
      </c>
    </row>
    <row r="12" spans="2:18" x14ac:dyDescent="0.2">
      <c r="B12" s="51" t="s">
        <v>113</v>
      </c>
      <c r="C12" s="45">
        <v>9264.69</v>
      </c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>
        <f t="shared" si="2"/>
        <v>9264.69</v>
      </c>
      <c r="Q12" s="45">
        <v>720</v>
      </c>
      <c r="R12" s="45">
        <f t="shared" si="3"/>
        <v>12.867625</v>
      </c>
    </row>
    <row r="13" spans="2:18" x14ac:dyDescent="0.2">
      <c r="B13" s="51" t="s">
        <v>113</v>
      </c>
      <c r="C13" s="52">
        <v>3838.99</v>
      </c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>
        <f t="shared" si="2"/>
        <v>3838.99</v>
      </c>
      <c r="Q13" s="45">
        <f>8*30</f>
        <v>240</v>
      </c>
      <c r="R13" s="45">
        <f t="shared" si="3"/>
        <v>15.995791666666666</v>
      </c>
    </row>
    <row r="14" spans="2:18" x14ac:dyDescent="0.2">
      <c r="B14" s="3"/>
    </row>
  </sheetData>
  <pageMargins left="0.7" right="0.7" top="0.75" bottom="0.75" header="0.3" footer="0.3"/>
  <ignoredErrors>
    <ignoredError sqref="J1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70428-7353-48D2-B3DF-B618CB822986}">
  <dimension ref="A1:F254"/>
  <sheetViews>
    <sheetView showGridLines="0" topLeftCell="A160" workbookViewId="0">
      <selection activeCell="E254" sqref="E254"/>
    </sheetView>
  </sheetViews>
  <sheetFormatPr baseColWidth="10" defaultRowHeight="15" x14ac:dyDescent="0.25"/>
  <cols>
    <col min="1" max="1" width="10.7109375" style="47" bestFit="1" customWidth="1"/>
    <col min="2" max="2" width="12.7109375" style="47" bestFit="1" customWidth="1"/>
    <col min="3" max="3" width="9.42578125" style="47" bestFit="1" customWidth="1"/>
    <col min="4" max="4" width="7.42578125" style="47" bestFit="1" customWidth="1"/>
    <col min="5" max="5" width="12.7109375" style="47" bestFit="1" customWidth="1"/>
    <col min="6" max="16384" width="11.42578125" style="47"/>
  </cols>
  <sheetData>
    <row r="1" spans="1:6" x14ac:dyDescent="0.25">
      <c r="A1" s="46" t="s">
        <v>83</v>
      </c>
      <c r="B1" s="46" t="s">
        <v>84</v>
      </c>
      <c r="C1" s="46" t="s">
        <v>85</v>
      </c>
      <c r="D1" s="46" t="s">
        <v>86</v>
      </c>
      <c r="E1" s="57" t="s">
        <v>89</v>
      </c>
      <c r="F1" s="57" t="s">
        <v>90</v>
      </c>
    </row>
    <row r="2" spans="1:6" x14ac:dyDescent="0.25">
      <c r="A2" s="48">
        <v>44470</v>
      </c>
      <c r="B2" s="49" t="s">
        <v>87</v>
      </c>
      <c r="C2" s="50">
        <v>4127</v>
      </c>
      <c r="D2" s="56">
        <v>4134</v>
      </c>
      <c r="E2" s="58">
        <f>C2/1000</f>
        <v>4.1269999999999998</v>
      </c>
      <c r="F2" s="58">
        <f>D2/1000</f>
        <v>4.1340000000000003</v>
      </c>
    </row>
    <row r="3" spans="1:6" x14ac:dyDescent="0.25">
      <c r="A3" s="48">
        <v>44473</v>
      </c>
      <c r="B3" s="49" t="s">
        <v>87</v>
      </c>
      <c r="C3" s="50">
        <v>4127</v>
      </c>
      <c r="D3" s="56">
        <v>4136</v>
      </c>
      <c r="E3" s="58">
        <f t="shared" ref="E3:F66" si="0">C3/1000</f>
        <v>4.1269999999999998</v>
      </c>
      <c r="F3" s="58">
        <f t="shared" si="0"/>
        <v>4.1360000000000001</v>
      </c>
    </row>
    <row r="4" spans="1:6" x14ac:dyDescent="0.25">
      <c r="A4" s="48">
        <v>44474</v>
      </c>
      <c r="B4" s="49" t="s">
        <v>87</v>
      </c>
      <c r="C4" s="50">
        <v>4128</v>
      </c>
      <c r="D4" s="56">
        <v>4133</v>
      </c>
      <c r="E4" s="58">
        <f t="shared" si="0"/>
        <v>4.1280000000000001</v>
      </c>
      <c r="F4" s="58">
        <f t="shared" si="0"/>
        <v>4.133</v>
      </c>
    </row>
    <row r="5" spans="1:6" x14ac:dyDescent="0.25">
      <c r="A5" s="48">
        <v>44475</v>
      </c>
      <c r="B5" s="49" t="s">
        <v>87</v>
      </c>
      <c r="C5" s="50">
        <v>4131</v>
      </c>
      <c r="D5" s="56">
        <v>4135</v>
      </c>
      <c r="E5" s="58">
        <f t="shared" si="0"/>
        <v>4.1310000000000002</v>
      </c>
      <c r="F5" s="58">
        <f t="shared" si="0"/>
        <v>4.1349999999999998</v>
      </c>
    </row>
    <row r="6" spans="1:6" x14ac:dyDescent="0.25">
      <c r="A6" s="48">
        <v>44476</v>
      </c>
      <c r="B6" s="49" t="s">
        <v>87</v>
      </c>
      <c r="C6" s="50">
        <v>4098</v>
      </c>
      <c r="D6" s="56">
        <v>4109</v>
      </c>
      <c r="E6" s="58">
        <f t="shared" si="0"/>
        <v>4.0979999999999999</v>
      </c>
      <c r="F6" s="58">
        <f t="shared" si="0"/>
        <v>4.109</v>
      </c>
    </row>
    <row r="7" spans="1:6" x14ac:dyDescent="0.25">
      <c r="A7" s="48">
        <v>44480</v>
      </c>
      <c r="B7" s="49" t="s">
        <v>87</v>
      </c>
      <c r="C7" s="50">
        <v>4072</v>
      </c>
      <c r="D7" s="56">
        <v>4080</v>
      </c>
      <c r="E7" s="58">
        <f t="shared" si="0"/>
        <v>4.0720000000000001</v>
      </c>
      <c r="F7" s="58">
        <f t="shared" si="0"/>
        <v>4.08</v>
      </c>
    </row>
    <row r="8" spans="1:6" x14ac:dyDescent="0.25">
      <c r="A8" s="48">
        <v>44481</v>
      </c>
      <c r="B8" s="49" t="s">
        <v>87</v>
      </c>
      <c r="C8" s="50">
        <v>4062</v>
      </c>
      <c r="D8" s="56">
        <v>4067</v>
      </c>
      <c r="E8" s="58">
        <f t="shared" si="0"/>
        <v>4.0620000000000003</v>
      </c>
      <c r="F8" s="58">
        <f t="shared" si="0"/>
        <v>4.0670000000000002</v>
      </c>
    </row>
    <row r="9" spans="1:6" x14ac:dyDescent="0.25">
      <c r="A9" s="48">
        <v>44482</v>
      </c>
      <c r="B9" s="49" t="s">
        <v>87</v>
      </c>
      <c r="C9" s="50">
        <v>3997</v>
      </c>
      <c r="D9" s="56">
        <v>4002</v>
      </c>
      <c r="E9" s="58">
        <f t="shared" si="0"/>
        <v>3.9969999999999999</v>
      </c>
      <c r="F9" s="58">
        <f t="shared" si="0"/>
        <v>4.0019999999999998</v>
      </c>
    </row>
    <row r="10" spans="1:6" x14ac:dyDescent="0.25">
      <c r="A10" s="48">
        <v>44483</v>
      </c>
      <c r="B10" s="49" t="s">
        <v>87</v>
      </c>
      <c r="C10" s="50">
        <v>3936</v>
      </c>
      <c r="D10" s="56">
        <v>3950</v>
      </c>
      <c r="E10" s="58">
        <f t="shared" si="0"/>
        <v>3.9359999999999999</v>
      </c>
      <c r="F10" s="58">
        <f t="shared" si="0"/>
        <v>3.95</v>
      </c>
    </row>
    <row r="11" spans="1:6" x14ac:dyDescent="0.25">
      <c r="A11" s="48">
        <v>44484</v>
      </c>
      <c r="B11" s="49" t="s">
        <v>87</v>
      </c>
      <c r="C11" s="50">
        <v>3926</v>
      </c>
      <c r="D11" s="56">
        <v>3938</v>
      </c>
      <c r="E11" s="58">
        <f t="shared" si="0"/>
        <v>3.9260000000000002</v>
      </c>
      <c r="F11" s="58">
        <f t="shared" si="0"/>
        <v>3.9380000000000002</v>
      </c>
    </row>
    <row r="12" spans="1:6" x14ac:dyDescent="0.25">
      <c r="A12" s="48">
        <v>44487</v>
      </c>
      <c r="B12" s="49" t="s">
        <v>87</v>
      </c>
      <c r="C12" s="50">
        <v>3943</v>
      </c>
      <c r="D12" s="56">
        <v>3951</v>
      </c>
      <c r="E12" s="58">
        <f t="shared" si="0"/>
        <v>3.9430000000000001</v>
      </c>
      <c r="F12" s="58">
        <f t="shared" si="0"/>
        <v>3.9510000000000001</v>
      </c>
    </row>
    <row r="13" spans="1:6" x14ac:dyDescent="0.25">
      <c r="A13" s="48">
        <v>44488</v>
      </c>
      <c r="B13" s="49" t="s">
        <v>87</v>
      </c>
      <c r="C13" s="50">
        <v>3941</v>
      </c>
      <c r="D13" s="56">
        <v>3949</v>
      </c>
      <c r="E13" s="58">
        <f t="shared" si="0"/>
        <v>3.9409999999999998</v>
      </c>
      <c r="F13" s="58">
        <f t="shared" si="0"/>
        <v>3.9489999999999998</v>
      </c>
    </row>
    <row r="14" spans="1:6" x14ac:dyDescent="0.25">
      <c r="A14" s="48">
        <v>44489</v>
      </c>
      <c r="B14" s="49" t="s">
        <v>87</v>
      </c>
      <c r="C14" s="50">
        <v>3938</v>
      </c>
      <c r="D14" s="56">
        <v>3947</v>
      </c>
      <c r="E14" s="58">
        <f t="shared" si="0"/>
        <v>3.9380000000000002</v>
      </c>
      <c r="F14" s="58">
        <f t="shared" si="0"/>
        <v>3.9470000000000001</v>
      </c>
    </row>
    <row r="15" spans="1:6" x14ac:dyDescent="0.25">
      <c r="A15" s="48">
        <v>44490</v>
      </c>
      <c r="B15" s="49" t="s">
        <v>87</v>
      </c>
      <c r="C15" s="50">
        <v>3948</v>
      </c>
      <c r="D15" s="56">
        <v>3953</v>
      </c>
      <c r="E15" s="58">
        <f t="shared" si="0"/>
        <v>3.948</v>
      </c>
      <c r="F15" s="58">
        <f t="shared" si="0"/>
        <v>3.9529999999999998</v>
      </c>
    </row>
    <row r="16" spans="1:6" x14ac:dyDescent="0.25">
      <c r="A16" s="48">
        <v>44491</v>
      </c>
      <c r="B16" s="49" t="s">
        <v>87</v>
      </c>
      <c r="C16" s="50">
        <v>3956</v>
      </c>
      <c r="D16" s="56">
        <v>3964</v>
      </c>
      <c r="E16" s="58">
        <f t="shared" si="0"/>
        <v>3.956</v>
      </c>
      <c r="F16" s="58">
        <f t="shared" si="0"/>
        <v>3.964</v>
      </c>
    </row>
    <row r="17" spans="1:6" x14ac:dyDescent="0.25">
      <c r="A17" s="48">
        <v>44494</v>
      </c>
      <c r="B17" s="49" t="s">
        <v>87</v>
      </c>
      <c r="C17" s="50">
        <v>3967</v>
      </c>
      <c r="D17" s="56">
        <v>3973</v>
      </c>
      <c r="E17" s="58">
        <f t="shared" si="0"/>
        <v>3.9670000000000001</v>
      </c>
      <c r="F17" s="58">
        <f t="shared" si="0"/>
        <v>3.9729999999999999</v>
      </c>
    </row>
    <row r="18" spans="1:6" x14ac:dyDescent="0.25">
      <c r="A18" s="48">
        <v>44495</v>
      </c>
      <c r="B18" s="49" t="s">
        <v>87</v>
      </c>
      <c r="C18" s="50">
        <v>3987</v>
      </c>
      <c r="D18" s="56">
        <v>3992</v>
      </c>
      <c r="E18" s="58">
        <f t="shared" si="0"/>
        <v>3.9870000000000001</v>
      </c>
      <c r="F18" s="58">
        <f t="shared" si="0"/>
        <v>3.992</v>
      </c>
    </row>
    <row r="19" spans="1:6" x14ac:dyDescent="0.25">
      <c r="A19" s="48">
        <v>44496</v>
      </c>
      <c r="B19" s="49" t="s">
        <v>87</v>
      </c>
      <c r="C19" s="50">
        <v>3983</v>
      </c>
      <c r="D19" s="56">
        <v>3989</v>
      </c>
      <c r="E19" s="58">
        <f t="shared" si="0"/>
        <v>3.9830000000000001</v>
      </c>
      <c r="F19" s="58">
        <f t="shared" si="0"/>
        <v>3.9889999999999999</v>
      </c>
    </row>
    <row r="20" spans="1:6" x14ac:dyDescent="0.25">
      <c r="A20" s="48">
        <v>44497</v>
      </c>
      <c r="B20" s="49" t="s">
        <v>87</v>
      </c>
      <c r="C20" s="50">
        <v>3975</v>
      </c>
      <c r="D20" s="56">
        <v>3980</v>
      </c>
      <c r="E20" s="58">
        <f t="shared" si="0"/>
        <v>3.9750000000000001</v>
      </c>
      <c r="F20" s="58">
        <f t="shared" si="0"/>
        <v>3.98</v>
      </c>
    </row>
    <row r="21" spans="1:6" x14ac:dyDescent="0.25">
      <c r="A21" s="48">
        <v>44498</v>
      </c>
      <c r="B21" s="49" t="s">
        <v>87</v>
      </c>
      <c r="C21" s="50">
        <v>3986</v>
      </c>
      <c r="D21" s="56">
        <v>3992</v>
      </c>
      <c r="E21" s="58">
        <f t="shared" si="0"/>
        <v>3.9860000000000002</v>
      </c>
      <c r="F21" s="58">
        <f t="shared" si="0"/>
        <v>3.992</v>
      </c>
    </row>
    <row r="22" spans="1:6" x14ac:dyDescent="0.25">
      <c r="A22" s="48">
        <v>44502</v>
      </c>
      <c r="B22" s="49" t="s">
        <v>87</v>
      </c>
      <c r="C22" s="50">
        <v>4007</v>
      </c>
      <c r="D22" s="56">
        <v>4012</v>
      </c>
      <c r="E22" s="58">
        <f t="shared" si="0"/>
        <v>4.0069999999999997</v>
      </c>
      <c r="F22" s="58">
        <f t="shared" si="0"/>
        <v>4.0119999999999996</v>
      </c>
    </row>
    <row r="23" spans="1:6" x14ac:dyDescent="0.25">
      <c r="A23" s="48">
        <v>44503</v>
      </c>
      <c r="B23" s="49" t="s">
        <v>87</v>
      </c>
      <c r="C23" s="50">
        <v>4008</v>
      </c>
      <c r="D23" s="56">
        <v>4014</v>
      </c>
      <c r="E23" s="58">
        <f t="shared" si="0"/>
        <v>4.008</v>
      </c>
      <c r="F23" s="58">
        <f t="shared" si="0"/>
        <v>4.0140000000000002</v>
      </c>
    </row>
    <row r="24" spans="1:6" x14ac:dyDescent="0.25">
      <c r="A24" s="48">
        <v>44504</v>
      </c>
      <c r="B24" s="49" t="s">
        <v>87</v>
      </c>
      <c r="C24" s="50">
        <v>4007</v>
      </c>
      <c r="D24" s="56">
        <v>4013</v>
      </c>
      <c r="E24" s="58">
        <f t="shared" si="0"/>
        <v>4.0069999999999997</v>
      </c>
      <c r="F24" s="58">
        <f t="shared" si="0"/>
        <v>4.0129999999999999</v>
      </c>
    </row>
    <row r="25" spans="1:6" x14ac:dyDescent="0.25">
      <c r="A25" s="48">
        <v>44505</v>
      </c>
      <c r="B25" s="49" t="s">
        <v>87</v>
      </c>
      <c r="C25" s="50">
        <v>4010</v>
      </c>
      <c r="D25" s="56">
        <v>4017</v>
      </c>
      <c r="E25" s="58">
        <f t="shared" si="0"/>
        <v>4.01</v>
      </c>
      <c r="F25" s="58">
        <f t="shared" si="0"/>
        <v>4.0170000000000003</v>
      </c>
    </row>
    <row r="26" spans="1:6" x14ac:dyDescent="0.25">
      <c r="A26" s="48">
        <v>44508</v>
      </c>
      <c r="B26" s="49" t="s">
        <v>87</v>
      </c>
      <c r="C26" s="50">
        <v>4008</v>
      </c>
      <c r="D26" s="56">
        <v>4016</v>
      </c>
      <c r="E26" s="58">
        <f t="shared" si="0"/>
        <v>4.008</v>
      </c>
      <c r="F26" s="58">
        <f t="shared" si="0"/>
        <v>4.016</v>
      </c>
    </row>
    <row r="27" spans="1:6" x14ac:dyDescent="0.25">
      <c r="A27" s="48">
        <v>44509</v>
      </c>
      <c r="B27" s="49" t="s">
        <v>87</v>
      </c>
      <c r="C27" s="50">
        <v>4013</v>
      </c>
      <c r="D27" s="56">
        <v>4018</v>
      </c>
      <c r="E27" s="58">
        <f t="shared" si="0"/>
        <v>4.0129999999999999</v>
      </c>
      <c r="F27" s="58">
        <f t="shared" si="0"/>
        <v>4.0179999999999998</v>
      </c>
    </row>
    <row r="28" spans="1:6" x14ac:dyDescent="0.25">
      <c r="A28" s="48">
        <v>44510</v>
      </c>
      <c r="B28" s="49" t="s">
        <v>87</v>
      </c>
      <c r="C28" s="50">
        <v>4021</v>
      </c>
      <c r="D28" s="56">
        <v>4025</v>
      </c>
      <c r="E28" s="58">
        <f t="shared" si="0"/>
        <v>4.0209999999999999</v>
      </c>
      <c r="F28" s="58">
        <f t="shared" si="0"/>
        <v>4.0250000000000004</v>
      </c>
    </row>
    <row r="29" spans="1:6" x14ac:dyDescent="0.25">
      <c r="A29" s="48">
        <v>44511</v>
      </c>
      <c r="B29" s="49" t="s">
        <v>87</v>
      </c>
      <c r="C29" s="50">
        <v>4016</v>
      </c>
      <c r="D29" s="56">
        <v>4025</v>
      </c>
      <c r="E29" s="58">
        <f t="shared" si="0"/>
        <v>4.016</v>
      </c>
      <c r="F29" s="58">
        <f t="shared" si="0"/>
        <v>4.0250000000000004</v>
      </c>
    </row>
    <row r="30" spans="1:6" x14ac:dyDescent="0.25">
      <c r="A30" s="48">
        <v>44512</v>
      </c>
      <c r="B30" s="49" t="s">
        <v>87</v>
      </c>
      <c r="C30" s="50">
        <v>4020</v>
      </c>
      <c r="D30" s="56">
        <v>4026</v>
      </c>
      <c r="E30" s="58">
        <f t="shared" si="0"/>
        <v>4.0199999999999996</v>
      </c>
      <c r="F30" s="58">
        <f t="shared" si="0"/>
        <v>4.0259999999999998</v>
      </c>
    </row>
    <row r="31" spans="1:6" x14ac:dyDescent="0.25">
      <c r="A31" s="48">
        <v>44515</v>
      </c>
      <c r="B31" s="49" t="s">
        <v>87</v>
      </c>
      <c r="C31" s="50">
        <v>4002</v>
      </c>
      <c r="D31" s="56">
        <v>4013</v>
      </c>
      <c r="E31" s="58">
        <f t="shared" si="0"/>
        <v>4.0019999999999998</v>
      </c>
      <c r="F31" s="58">
        <f t="shared" si="0"/>
        <v>4.0129999999999999</v>
      </c>
    </row>
    <row r="32" spans="1:6" x14ac:dyDescent="0.25">
      <c r="A32" s="48">
        <v>44516</v>
      </c>
      <c r="B32" s="49" t="s">
        <v>87</v>
      </c>
      <c r="C32" s="50">
        <v>3996</v>
      </c>
      <c r="D32" s="56">
        <v>4004</v>
      </c>
      <c r="E32" s="58">
        <f t="shared" si="0"/>
        <v>3.996</v>
      </c>
      <c r="F32" s="58">
        <f t="shared" si="0"/>
        <v>4.0039999999999996</v>
      </c>
    </row>
    <row r="33" spans="1:6" x14ac:dyDescent="0.25">
      <c r="A33" s="48">
        <v>44517</v>
      </c>
      <c r="B33" s="49" t="s">
        <v>87</v>
      </c>
      <c r="C33" s="50">
        <v>4001</v>
      </c>
      <c r="D33" s="56">
        <v>4007</v>
      </c>
      <c r="E33" s="58">
        <f t="shared" si="0"/>
        <v>4.0010000000000003</v>
      </c>
      <c r="F33" s="58">
        <f t="shared" si="0"/>
        <v>4.0069999999999997</v>
      </c>
    </row>
    <row r="34" spans="1:6" x14ac:dyDescent="0.25">
      <c r="A34" s="48">
        <v>44518</v>
      </c>
      <c r="B34" s="49" t="s">
        <v>87</v>
      </c>
      <c r="C34" s="50">
        <v>4014</v>
      </c>
      <c r="D34" s="56">
        <v>4020</v>
      </c>
      <c r="E34" s="58">
        <f t="shared" si="0"/>
        <v>4.0140000000000002</v>
      </c>
      <c r="F34" s="58">
        <f t="shared" si="0"/>
        <v>4.0199999999999996</v>
      </c>
    </row>
    <row r="35" spans="1:6" x14ac:dyDescent="0.25">
      <c r="A35" s="48">
        <v>44519</v>
      </c>
      <c r="B35" s="49" t="s">
        <v>87</v>
      </c>
      <c r="C35" s="50">
        <v>4015</v>
      </c>
      <c r="D35" s="56">
        <v>4026</v>
      </c>
      <c r="E35" s="58">
        <f t="shared" si="0"/>
        <v>4.0149999999999997</v>
      </c>
      <c r="F35" s="58">
        <f t="shared" si="0"/>
        <v>4.0259999999999998</v>
      </c>
    </row>
    <row r="36" spans="1:6" x14ac:dyDescent="0.25">
      <c r="A36" s="48">
        <v>44522</v>
      </c>
      <c r="B36" s="49" t="s">
        <v>87</v>
      </c>
      <c r="C36" s="50">
        <v>4015</v>
      </c>
      <c r="D36" s="56">
        <v>4023</v>
      </c>
      <c r="E36" s="58">
        <f t="shared" si="0"/>
        <v>4.0149999999999997</v>
      </c>
      <c r="F36" s="58">
        <f t="shared" si="0"/>
        <v>4.0229999999999997</v>
      </c>
    </row>
    <row r="37" spans="1:6" x14ac:dyDescent="0.25">
      <c r="A37" s="48">
        <v>44523</v>
      </c>
      <c r="B37" s="49" t="s">
        <v>87</v>
      </c>
      <c r="C37" s="50">
        <v>4003</v>
      </c>
      <c r="D37" s="56">
        <v>4011</v>
      </c>
      <c r="E37" s="58">
        <f t="shared" si="0"/>
        <v>4.0030000000000001</v>
      </c>
      <c r="F37" s="58">
        <f t="shared" si="0"/>
        <v>4.0110000000000001</v>
      </c>
    </row>
    <row r="38" spans="1:6" x14ac:dyDescent="0.25">
      <c r="A38" s="48">
        <v>44524</v>
      </c>
      <c r="B38" s="49" t="s">
        <v>87</v>
      </c>
      <c r="C38" s="50">
        <v>4018</v>
      </c>
      <c r="D38" s="56">
        <v>4023</v>
      </c>
      <c r="E38" s="58">
        <f t="shared" si="0"/>
        <v>4.0179999999999998</v>
      </c>
      <c r="F38" s="58">
        <f t="shared" si="0"/>
        <v>4.0229999999999997</v>
      </c>
    </row>
    <row r="39" spans="1:6" x14ac:dyDescent="0.25">
      <c r="A39" s="48">
        <v>44525</v>
      </c>
      <c r="B39" s="49" t="s">
        <v>87</v>
      </c>
      <c r="C39" s="50">
        <v>4020</v>
      </c>
      <c r="D39" s="56">
        <v>4031</v>
      </c>
      <c r="E39" s="58">
        <f t="shared" si="0"/>
        <v>4.0199999999999996</v>
      </c>
      <c r="F39" s="58">
        <f t="shared" si="0"/>
        <v>4.0309999999999997</v>
      </c>
    </row>
    <row r="40" spans="1:6" x14ac:dyDescent="0.25">
      <c r="A40" s="48">
        <v>44526</v>
      </c>
      <c r="B40" s="49" t="s">
        <v>87</v>
      </c>
      <c r="C40" s="50">
        <v>4034</v>
      </c>
      <c r="D40" s="56">
        <v>4041</v>
      </c>
      <c r="E40" s="58">
        <f t="shared" si="0"/>
        <v>4.0339999999999998</v>
      </c>
      <c r="F40" s="58">
        <f t="shared" si="0"/>
        <v>4.0410000000000004</v>
      </c>
    </row>
    <row r="41" spans="1:6" x14ac:dyDescent="0.25">
      <c r="A41" s="48">
        <v>44529</v>
      </c>
      <c r="B41" s="49" t="s">
        <v>87</v>
      </c>
      <c r="C41" s="50">
        <v>4048</v>
      </c>
      <c r="D41" s="56">
        <v>4059</v>
      </c>
      <c r="E41" s="58">
        <f t="shared" si="0"/>
        <v>4.048</v>
      </c>
      <c r="F41" s="58">
        <f t="shared" si="0"/>
        <v>4.0590000000000002</v>
      </c>
    </row>
    <row r="42" spans="1:6" x14ac:dyDescent="0.25">
      <c r="A42" s="48">
        <v>44530</v>
      </c>
      <c r="B42" s="49" t="s">
        <v>87</v>
      </c>
      <c r="C42" s="50">
        <v>4057</v>
      </c>
      <c r="D42" s="56">
        <v>4066</v>
      </c>
      <c r="E42" s="58">
        <f t="shared" si="0"/>
        <v>4.0570000000000004</v>
      </c>
      <c r="F42" s="58">
        <f t="shared" si="0"/>
        <v>4.0659999999999998</v>
      </c>
    </row>
    <row r="43" spans="1:6" x14ac:dyDescent="0.25">
      <c r="A43" s="48">
        <v>44531</v>
      </c>
      <c r="B43" s="49" t="s">
        <v>87</v>
      </c>
      <c r="C43" s="50">
        <v>4061</v>
      </c>
      <c r="D43" s="56">
        <v>4071</v>
      </c>
      <c r="E43" s="58">
        <f t="shared" si="0"/>
        <v>4.0609999999999999</v>
      </c>
      <c r="F43" s="58">
        <f t="shared" si="0"/>
        <v>4.0709999999999997</v>
      </c>
    </row>
    <row r="44" spans="1:6" x14ac:dyDescent="0.25">
      <c r="A44" s="48">
        <v>44532</v>
      </c>
      <c r="B44" s="49" t="s">
        <v>87</v>
      </c>
      <c r="C44" s="50">
        <v>4068</v>
      </c>
      <c r="D44" s="56">
        <v>4075</v>
      </c>
      <c r="E44" s="58">
        <f t="shared" si="0"/>
        <v>4.0679999999999996</v>
      </c>
      <c r="F44" s="58">
        <f t="shared" si="0"/>
        <v>4.0750000000000002</v>
      </c>
    </row>
    <row r="45" spans="1:6" x14ac:dyDescent="0.25">
      <c r="A45" s="48">
        <v>44533</v>
      </c>
      <c r="B45" s="49" t="s">
        <v>87</v>
      </c>
      <c r="C45" s="50">
        <v>4071</v>
      </c>
      <c r="D45" s="56">
        <v>4078</v>
      </c>
      <c r="E45" s="58">
        <f t="shared" si="0"/>
        <v>4.0709999999999997</v>
      </c>
      <c r="F45" s="58">
        <f t="shared" si="0"/>
        <v>4.0780000000000003</v>
      </c>
    </row>
    <row r="46" spans="1:6" x14ac:dyDescent="0.25">
      <c r="A46" s="48">
        <v>44536</v>
      </c>
      <c r="B46" s="49" t="s">
        <v>87</v>
      </c>
      <c r="C46" s="50">
        <v>4078</v>
      </c>
      <c r="D46" s="56">
        <v>4085</v>
      </c>
      <c r="E46" s="58">
        <f t="shared" si="0"/>
        <v>4.0780000000000003</v>
      </c>
      <c r="F46" s="58">
        <f t="shared" si="0"/>
        <v>4.085</v>
      </c>
    </row>
    <row r="47" spans="1:6" x14ac:dyDescent="0.25">
      <c r="A47" s="48">
        <v>44537</v>
      </c>
      <c r="B47" s="49" t="s">
        <v>87</v>
      </c>
      <c r="C47" s="50">
        <v>4070</v>
      </c>
      <c r="D47" s="56">
        <v>4080</v>
      </c>
      <c r="E47" s="58">
        <f t="shared" si="0"/>
        <v>4.07</v>
      </c>
      <c r="F47" s="58">
        <f t="shared" si="0"/>
        <v>4.08</v>
      </c>
    </row>
    <row r="48" spans="1:6" x14ac:dyDescent="0.25">
      <c r="A48" s="48">
        <v>44539</v>
      </c>
      <c r="B48" s="49" t="s">
        <v>87</v>
      </c>
      <c r="C48" s="50">
        <v>4077</v>
      </c>
      <c r="D48" s="56">
        <v>4085</v>
      </c>
      <c r="E48" s="58">
        <f t="shared" si="0"/>
        <v>4.077</v>
      </c>
      <c r="F48" s="58">
        <f t="shared" si="0"/>
        <v>4.085</v>
      </c>
    </row>
    <row r="49" spans="1:6" x14ac:dyDescent="0.25">
      <c r="A49" s="48">
        <v>44540</v>
      </c>
      <c r="B49" s="49" t="s">
        <v>87</v>
      </c>
      <c r="C49" s="50">
        <v>4065</v>
      </c>
      <c r="D49" s="56">
        <v>4076</v>
      </c>
      <c r="E49" s="58">
        <f t="shared" si="0"/>
        <v>4.0650000000000004</v>
      </c>
      <c r="F49" s="58">
        <f t="shared" si="0"/>
        <v>4.0759999999999996</v>
      </c>
    </row>
    <row r="50" spans="1:6" x14ac:dyDescent="0.25">
      <c r="A50" s="48">
        <v>44543</v>
      </c>
      <c r="B50" s="49" t="s">
        <v>87</v>
      </c>
      <c r="C50" s="50">
        <v>4056</v>
      </c>
      <c r="D50" s="56">
        <v>4067</v>
      </c>
      <c r="E50" s="58">
        <f t="shared" si="0"/>
        <v>4.056</v>
      </c>
      <c r="F50" s="58">
        <f t="shared" si="0"/>
        <v>4.0670000000000002</v>
      </c>
    </row>
    <row r="51" spans="1:6" x14ac:dyDescent="0.25">
      <c r="A51" s="48">
        <v>44544</v>
      </c>
      <c r="B51" s="49" t="s">
        <v>87</v>
      </c>
      <c r="C51" s="50">
        <v>4049</v>
      </c>
      <c r="D51" s="56">
        <v>4060</v>
      </c>
      <c r="E51" s="58">
        <f t="shared" si="0"/>
        <v>4.0490000000000004</v>
      </c>
      <c r="F51" s="58">
        <f t="shared" si="0"/>
        <v>4.0599999999999996</v>
      </c>
    </row>
    <row r="52" spans="1:6" x14ac:dyDescent="0.25">
      <c r="A52" s="48">
        <v>44545</v>
      </c>
      <c r="B52" s="49" t="s">
        <v>87</v>
      </c>
      <c r="C52" s="50">
        <v>4049</v>
      </c>
      <c r="D52" s="56">
        <v>4058</v>
      </c>
      <c r="E52" s="58">
        <f t="shared" si="0"/>
        <v>4.0490000000000004</v>
      </c>
      <c r="F52" s="58">
        <f t="shared" si="0"/>
        <v>4.0579999999999998</v>
      </c>
    </row>
    <row r="53" spans="1:6" x14ac:dyDescent="0.25">
      <c r="A53" s="48">
        <v>44546</v>
      </c>
      <c r="B53" s="49" t="s">
        <v>87</v>
      </c>
      <c r="C53" s="50">
        <v>4034</v>
      </c>
      <c r="D53" s="56">
        <v>4040</v>
      </c>
      <c r="E53" s="58">
        <f t="shared" si="0"/>
        <v>4.0339999999999998</v>
      </c>
      <c r="F53" s="58">
        <f t="shared" si="0"/>
        <v>4.04</v>
      </c>
    </row>
    <row r="54" spans="1:6" x14ac:dyDescent="0.25">
      <c r="A54" s="48">
        <v>44547</v>
      </c>
      <c r="B54" s="49" t="s">
        <v>87</v>
      </c>
      <c r="C54" s="50">
        <v>4032</v>
      </c>
      <c r="D54" s="56">
        <v>4043</v>
      </c>
      <c r="E54" s="58">
        <f t="shared" si="0"/>
        <v>4.032</v>
      </c>
      <c r="F54" s="58">
        <f t="shared" si="0"/>
        <v>4.0430000000000001</v>
      </c>
    </row>
    <row r="55" spans="1:6" x14ac:dyDescent="0.25">
      <c r="A55" s="48">
        <v>44550</v>
      </c>
      <c r="B55" s="49" t="s">
        <v>87</v>
      </c>
      <c r="C55" s="50">
        <v>4039</v>
      </c>
      <c r="D55" s="56">
        <v>4049</v>
      </c>
      <c r="E55" s="58">
        <f t="shared" si="0"/>
        <v>4.0389999999999997</v>
      </c>
      <c r="F55" s="58">
        <f t="shared" si="0"/>
        <v>4.0490000000000004</v>
      </c>
    </row>
    <row r="56" spans="1:6" x14ac:dyDescent="0.25">
      <c r="A56" s="48">
        <v>44551</v>
      </c>
      <c r="B56" s="49" t="s">
        <v>87</v>
      </c>
      <c r="C56" s="50">
        <v>4050</v>
      </c>
      <c r="D56" s="56">
        <v>4055</v>
      </c>
      <c r="E56" s="58">
        <f t="shared" si="0"/>
        <v>4.05</v>
      </c>
      <c r="F56" s="58">
        <f t="shared" si="0"/>
        <v>4.0549999999999997</v>
      </c>
    </row>
    <row r="57" spans="1:6" x14ac:dyDescent="0.25">
      <c r="A57" s="48">
        <v>44552</v>
      </c>
      <c r="B57" s="49" t="s">
        <v>87</v>
      </c>
      <c r="C57" s="50">
        <v>4043</v>
      </c>
      <c r="D57" s="56">
        <v>4050</v>
      </c>
      <c r="E57" s="58">
        <f t="shared" si="0"/>
        <v>4.0430000000000001</v>
      </c>
      <c r="F57" s="58">
        <f t="shared" si="0"/>
        <v>4.05</v>
      </c>
    </row>
    <row r="58" spans="1:6" x14ac:dyDescent="0.25">
      <c r="A58" s="48">
        <v>44553</v>
      </c>
      <c r="B58" s="49" t="s">
        <v>87</v>
      </c>
      <c r="C58" s="50">
        <v>4011</v>
      </c>
      <c r="D58" s="56">
        <v>4027</v>
      </c>
      <c r="E58" s="58">
        <f t="shared" si="0"/>
        <v>4.0110000000000001</v>
      </c>
      <c r="F58" s="58">
        <f t="shared" si="0"/>
        <v>4.0270000000000001</v>
      </c>
    </row>
    <row r="59" spans="1:6" x14ac:dyDescent="0.25">
      <c r="A59" s="48">
        <v>44554</v>
      </c>
      <c r="B59" s="49" t="s">
        <v>87</v>
      </c>
      <c r="C59" s="50">
        <v>3995</v>
      </c>
      <c r="D59" s="56">
        <v>4018</v>
      </c>
      <c r="E59" s="58">
        <f t="shared" si="0"/>
        <v>3.9950000000000001</v>
      </c>
      <c r="F59" s="58">
        <f t="shared" si="0"/>
        <v>4.0179999999999998</v>
      </c>
    </row>
    <row r="60" spans="1:6" x14ac:dyDescent="0.25">
      <c r="A60" s="48">
        <v>44557</v>
      </c>
      <c r="B60" s="49" t="s">
        <v>87</v>
      </c>
      <c r="C60" s="50">
        <v>3978</v>
      </c>
      <c r="D60" s="56">
        <v>3991</v>
      </c>
      <c r="E60" s="58">
        <f t="shared" si="0"/>
        <v>3.9780000000000002</v>
      </c>
      <c r="F60" s="58">
        <f t="shared" si="0"/>
        <v>3.9910000000000001</v>
      </c>
    </row>
    <row r="61" spans="1:6" x14ac:dyDescent="0.25">
      <c r="A61" s="48">
        <v>44558</v>
      </c>
      <c r="B61" s="49" t="s">
        <v>87</v>
      </c>
      <c r="C61" s="50">
        <v>3951</v>
      </c>
      <c r="D61" s="56">
        <v>3958</v>
      </c>
      <c r="E61" s="58">
        <f t="shared" si="0"/>
        <v>3.9510000000000001</v>
      </c>
      <c r="F61" s="58">
        <f t="shared" si="0"/>
        <v>3.9580000000000002</v>
      </c>
    </row>
    <row r="62" spans="1:6" x14ac:dyDescent="0.25">
      <c r="A62" s="48">
        <v>44559</v>
      </c>
      <c r="B62" s="49" t="s">
        <v>87</v>
      </c>
      <c r="C62" s="50">
        <v>3965</v>
      </c>
      <c r="D62" s="56">
        <v>3976</v>
      </c>
      <c r="E62" s="58">
        <f t="shared" si="0"/>
        <v>3.9649999999999999</v>
      </c>
      <c r="F62" s="58">
        <f t="shared" si="0"/>
        <v>3.976</v>
      </c>
    </row>
    <row r="63" spans="1:6" x14ac:dyDescent="0.25">
      <c r="A63" s="48">
        <v>44560</v>
      </c>
      <c r="B63" s="49" t="s">
        <v>87</v>
      </c>
      <c r="C63" s="50">
        <v>3979</v>
      </c>
      <c r="D63" s="56">
        <v>3991</v>
      </c>
      <c r="E63" s="58">
        <f t="shared" si="0"/>
        <v>3.9790000000000001</v>
      </c>
      <c r="F63" s="58">
        <f t="shared" si="0"/>
        <v>3.9910000000000001</v>
      </c>
    </row>
    <row r="64" spans="1:6" x14ac:dyDescent="0.25">
      <c r="A64" s="48">
        <v>44561</v>
      </c>
      <c r="B64" s="49" t="s">
        <v>87</v>
      </c>
      <c r="C64" s="50">
        <v>3975</v>
      </c>
      <c r="D64" s="56">
        <v>3998</v>
      </c>
      <c r="E64" s="58">
        <f t="shared" si="0"/>
        <v>3.9750000000000001</v>
      </c>
      <c r="F64" s="58">
        <f t="shared" si="0"/>
        <v>3.9980000000000002</v>
      </c>
    </row>
    <row r="65" spans="1:6" x14ac:dyDescent="0.25">
      <c r="A65" s="48">
        <v>44564</v>
      </c>
      <c r="B65" s="49" t="s">
        <v>87</v>
      </c>
      <c r="C65" s="50">
        <v>3987</v>
      </c>
      <c r="D65" s="56">
        <v>3995</v>
      </c>
      <c r="E65" s="58">
        <f t="shared" si="0"/>
        <v>3.9870000000000001</v>
      </c>
      <c r="F65" s="58">
        <f t="shared" si="0"/>
        <v>3.9950000000000001</v>
      </c>
    </row>
    <row r="66" spans="1:6" x14ac:dyDescent="0.25">
      <c r="A66" s="48">
        <v>44565</v>
      </c>
      <c r="B66" s="49" t="s">
        <v>87</v>
      </c>
      <c r="C66" s="50">
        <v>3963</v>
      </c>
      <c r="D66" s="56">
        <v>3968</v>
      </c>
      <c r="E66" s="58">
        <f t="shared" si="0"/>
        <v>3.9630000000000001</v>
      </c>
      <c r="F66" s="58">
        <f t="shared" si="0"/>
        <v>3.968</v>
      </c>
    </row>
    <row r="67" spans="1:6" x14ac:dyDescent="0.25">
      <c r="A67" s="48">
        <v>44566</v>
      </c>
      <c r="B67" s="49" t="s">
        <v>87</v>
      </c>
      <c r="C67" s="50">
        <v>3953</v>
      </c>
      <c r="D67" s="56">
        <v>3965</v>
      </c>
      <c r="E67" s="58">
        <f t="shared" ref="E67:F130" si="1">C67/1000</f>
        <v>3.9529999999999998</v>
      </c>
      <c r="F67" s="58">
        <f t="shared" si="1"/>
        <v>3.9649999999999999</v>
      </c>
    </row>
    <row r="68" spans="1:6" x14ac:dyDescent="0.25">
      <c r="A68" s="48">
        <v>44567</v>
      </c>
      <c r="B68" s="49" t="s">
        <v>87</v>
      </c>
      <c r="C68" s="50">
        <v>3967</v>
      </c>
      <c r="D68" s="56">
        <v>3973</v>
      </c>
      <c r="E68" s="58">
        <f t="shared" si="1"/>
        <v>3.9670000000000001</v>
      </c>
      <c r="F68" s="58">
        <f t="shared" si="1"/>
        <v>3.9729999999999999</v>
      </c>
    </row>
    <row r="69" spans="1:6" x14ac:dyDescent="0.25">
      <c r="A69" s="48">
        <v>44568</v>
      </c>
      <c r="B69" s="49" t="s">
        <v>87</v>
      </c>
      <c r="C69" s="50">
        <v>3948</v>
      </c>
      <c r="D69" s="56">
        <v>3955</v>
      </c>
      <c r="E69" s="58">
        <f t="shared" si="1"/>
        <v>3.948</v>
      </c>
      <c r="F69" s="58">
        <f t="shared" si="1"/>
        <v>3.9550000000000001</v>
      </c>
    </row>
    <row r="70" spans="1:6" x14ac:dyDescent="0.25">
      <c r="A70" s="48">
        <v>44571</v>
      </c>
      <c r="B70" s="49" t="s">
        <v>87</v>
      </c>
      <c r="C70" s="50">
        <v>3925</v>
      </c>
      <c r="D70" s="56">
        <v>3933</v>
      </c>
      <c r="E70" s="58">
        <f t="shared" si="1"/>
        <v>3.9249999999999998</v>
      </c>
      <c r="F70" s="58">
        <f t="shared" si="1"/>
        <v>3.9329999999999998</v>
      </c>
    </row>
    <row r="71" spans="1:6" x14ac:dyDescent="0.25">
      <c r="A71" s="48">
        <v>44572</v>
      </c>
      <c r="B71" s="49" t="s">
        <v>87</v>
      </c>
      <c r="C71" s="50">
        <v>3919</v>
      </c>
      <c r="D71" s="56">
        <v>3925</v>
      </c>
      <c r="E71" s="58">
        <f t="shared" si="1"/>
        <v>3.919</v>
      </c>
      <c r="F71" s="58">
        <f t="shared" si="1"/>
        <v>3.9249999999999998</v>
      </c>
    </row>
    <row r="72" spans="1:6" x14ac:dyDescent="0.25">
      <c r="A72" s="48">
        <v>44573</v>
      </c>
      <c r="B72" s="49" t="s">
        <v>87</v>
      </c>
      <c r="C72" s="50">
        <v>3897</v>
      </c>
      <c r="D72" s="56">
        <v>3901</v>
      </c>
      <c r="E72" s="58">
        <f t="shared" si="1"/>
        <v>3.8969999999999998</v>
      </c>
      <c r="F72" s="58">
        <f t="shared" si="1"/>
        <v>3.9009999999999998</v>
      </c>
    </row>
    <row r="73" spans="1:6" x14ac:dyDescent="0.25">
      <c r="A73" s="48">
        <v>44574</v>
      </c>
      <c r="B73" s="49" t="s">
        <v>87</v>
      </c>
      <c r="C73" s="50">
        <v>3895</v>
      </c>
      <c r="D73" s="56">
        <v>3900</v>
      </c>
      <c r="E73" s="58">
        <f t="shared" si="1"/>
        <v>3.895</v>
      </c>
      <c r="F73" s="58">
        <f t="shared" si="1"/>
        <v>3.9</v>
      </c>
    </row>
    <row r="74" spans="1:6" x14ac:dyDescent="0.25">
      <c r="A74" s="48">
        <v>44575</v>
      </c>
      <c r="B74" s="49" t="s">
        <v>87</v>
      </c>
      <c r="C74" s="50">
        <v>3879</v>
      </c>
      <c r="D74" s="56">
        <v>3887</v>
      </c>
      <c r="E74" s="58">
        <f t="shared" si="1"/>
        <v>3.879</v>
      </c>
      <c r="F74" s="58">
        <f t="shared" si="1"/>
        <v>3.887</v>
      </c>
    </row>
    <row r="75" spans="1:6" x14ac:dyDescent="0.25">
      <c r="A75" s="48">
        <v>44578</v>
      </c>
      <c r="B75" s="49" t="s">
        <v>87</v>
      </c>
      <c r="C75" s="50">
        <v>3846</v>
      </c>
      <c r="D75" s="56">
        <v>3869</v>
      </c>
      <c r="E75" s="58">
        <f t="shared" si="1"/>
        <v>3.8460000000000001</v>
      </c>
      <c r="F75" s="58">
        <f t="shared" si="1"/>
        <v>3.8690000000000002</v>
      </c>
    </row>
    <row r="76" spans="1:6" x14ac:dyDescent="0.25">
      <c r="A76" s="48">
        <v>44579</v>
      </c>
      <c r="B76" s="49" t="s">
        <v>87</v>
      </c>
      <c r="C76" s="50">
        <v>3848</v>
      </c>
      <c r="D76" s="56">
        <v>3856</v>
      </c>
      <c r="E76" s="58">
        <f t="shared" si="1"/>
        <v>3.8479999999999999</v>
      </c>
      <c r="F76" s="58">
        <f t="shared" si="1"/>
        <v>3.8559999999999999</v>
      </c>
    </row>
    <row r="77" spans="1:6" x14ac:dyDescent="0.25">
      <c r="A77" s="48">
        <v>44580</v>
      </c>
      <c r="B77" s="49" t="s">
        <v>87</v>
      </c>
      <c r="C77" s="50">
        <v>3859</v>
      </c>
      <c r="D77" s="56">
        <v>3866</v>
      </c>
      <c r="E77" s="58">
        <f t="shared" si="1"/>
        <v>3.859</v>
      </c>
      <c r="F77" s="58">
        <f t="shared" si="1"/>
        <v>3.8660000000000001</v>
      </c>
    </row>
    <row r="78" spans="1:6" x14ac:dyDescent="0.25">
      <c r="A78" s="48">
        <v>44581</v>
      </c>
      <c r="B78" s="49" t="s">
        <v>87</v>
      </c>
      <c r="C78" s="50">
        <v>3851</v>
      </c>
      <c r="D78" s="56">
        <v>3859</v>
      </c>
      <c r="E78" s="58">
        <f t="shared" si="1"/>
        <v>3.851</v>
      </c>
      <c r="F78" s="58">
        <f t="shared" si="1"/>
        <v>3.859</v>
      </c>
    </row>
    <row r="79" spans="1:6" x14ac:dyDescent="0.25">
      <c r="A79" s="48">
        <v>44582</v>
      </c>
      <c r="B79" s="49" t="s">
        <v>87</v>
      </c>
      <c r="C79" s="50">
        <v>3820</v>
      </c>
      <c r="D79" s="56">
        <v>3834</v>
      </c>
      <c r="E79" s="58">
        <f t="shared" si="1"/>
        <v>3.82</v>
      </c>
      <c r="F79" s="58">
        <f t="shared" si="1"/>
        <v>3.8340000000000001</v>
      </c>
    </row>
    <row r="80" spans="1:6" x14ac:dyDescent="0.25">
      <c r="A80" s="48">
        <v>44585</v>
      </c>
      <c r="B80" s="49" t="s">
        <v>87</v>
      </c>
      <c r="C80" s="50">
        <v>3835</v>
      </c>
      <c r="D80" s="56">
        <v>3842</v>
      </c>
      <c r="E80" s="58">
        <f t="shared" si="1"/>
        <v>3.835</v>
      </c>
      <c r="F80" s="58">
        <f t="shared" si="1"/>
        <v>3.8420000000000001</v>
      </c>
    </row>
    <row r="81" spans="1:6" x14ac:dyDescent="0.25">
      <c r="A81" s="48">
        <v>44586</v>
      </c>
      <c r="B81" s="49" t="s">
        <v>87</v>
      </c>
      <c r="C81" s="50">
        <v>3843</v>
      </c>
      <c r="D81" s="56">
        <v>3852</v>
      </c>
      <c r="E81" s="58">
        <f t="shared" si="1"/>
        <v>3.843</v>
      </c>
      <c r="F81" s="58">
        <f t="shared" si="1"/>
        <v>3.8519999999999999</v>
      </c>
    </row>
    <row r="82" spans="1:6" x14ac:dyDescent="0.25">
      <c r="A82" s="48">
        <v>44587</v>
      </c>
      <c r="B82" s="49" t="s">
        <v>87</v>
      </c>
      <c r="C82" s="50">
        <v>3840</v>
      </c>
      <c r="D82" s="56">
        <v>3849</v>
      </c>
      <c r="E82" s="58">
        <f t="shared" si="1"/>
        <v>3.84</v>
      </c>
      <c r="F82" s="58">
        <f t="shared" si="1"/>
        <v>3.8490000000000002</v>
      </c>
    </row>
    <row r="83" spans="1:6" x14ac:dyDescent="0.25">
      <c r="A83" s="48">
        <v>44588</v>
      </c>
      <c r="B83" s="49" t="s">
        <v>87</v>
      </c>
      <c r="C83" s="50">
        <v>3833</v>
      </c>
      <c r="D83" s="56">
        <v>3839</v>
      </c>
      <c r="E83" s="58">
        <f t="shared" si="1"/>
        <v>3.8330000000000002</v>
      </c>
      <c r="F83" s="58">
        <f t="shared" si="1"/>
        <v>3.839</v>
      </c>
    </row>
    <row r="84" spans="1:6" x14ac:dyDescent="0.25">
      <c r="A84" s="48">
        <v>44589</v>
      </c>
      <c r="B84" s="49" t="s">
        <v>87</v>
      </c>
      <c r="C84" s="50">
        <v>3839</v>
      </c>
      <c r="D84" s="56">
        <v>3849</v>
      </c>
      <c r="E84" s="58">
        <f t="shared" si="1"/>
        <v>3.839</v>
      </c>
      <c r="F84" s="58">
        <f t="shared" si="1"/>
        <v>3.8490000000000002</v>
      </c>
    </row>
    <row r="85" spans="1:6" x14ac:dyDescent="0.25">
      <c r="A85" s="48">
        <v>44592</v>
      </c>
      <c r="B85" s="49" t="s">
        <v>87</v>
      </c>
      <c r="C85" s="50">
        <v>3840</v>
      </c>
      <c r="D85" s="56">
        <v>3846</v>
      </c>
      <c r="E85" s="58">
        <f t="shared" si="1"/>
        <v>3.84</v>
      </c>
      <c r="F85" s="58">
        <f t="shared" si="1"/>
        <v>3.8460000000000001</v>
      </c>
    </row>
    <row r="86" spans="1:6" x14ac:dyDescent="0.25">
      <c r="A86" s="48">
        <v>44593</v>
      </c>
      <c r="B86" s="49" t="s">
        <v>87</v>
      </c>
      <c r="C86" s="50">
        <v>3866</v>
      </c>
      <c r="D86" s="56">
        <v>3878</v>
      </c>
      <c r="E86" s="58">
        <f t="shared" si="1"/>
        <v>3.8660000000000001</v>
      </c>
      <c r="F86" s="58">
        <f t="shared" si="1"/>
        <v>3.8780000000000001</v>
      </c>
    </row>
    <row r="87" spans="1:6" x14ac:dyDescent="0.25">
      <c r="A87" s="48">
        <v>44594</v>
      </c>
      <c r="B87" s="49" t="s">
        <v>87</v>
      </c>
      <c r="C87" s="50">
        <v>3852</v>
      </c>
      <c r="D87" s="56">
        <v>3860</v>
      </c>
      <c r="E87" s="58">
        <f t="shared" si="1"/>
        <v>3.8519999999999999</v>
      </c>
      <c r="F87" s="58">
        <f t="shared" si="1"/>
        <v>3.86</v>
      </c>
    </row>
    <row r="88" spans="1:6" x14ac:dyDescent="0.25">
      <c r="A88" s="48">
        <v>44595</v>
      </c>
      <c r="B88" s="49" t="s">
        <v>87</v>
      </c>
      <c r="C88" s="50">
        <v>3858</v>
      </c>
      <c r="D88" s="56">
        <v>3863</v>
      </c>
      <c r="E88" s="58">
        <f t="shared" si="1"/>
        <v>3.8580000000000001</v>
      </c>
      <c r="F88" s="58">
        <f t="shared" si="1"/>
        <v>3.863</v>
      </c>
    </row>
    <row r="89" spans="1:6" x14ac:dyDescent="0.25">
      <c r="A89" s="48">
        <v>44596</v>
      </c>
      <c r="B89" s="49" t="s">
        <v>87</v>
      </c>
      <c r="C89" s="50">
        <v>3867</v>
      </c>
      <c r="D89" s="56">
        <v>3873</v>
      </c>
      <c r="E89" s="58">
        <f t="shared" si="1"/>
        <v>3.867</v>
      </c>
      <c r="F89" s="58">
        <f t="shared" si="1"/>
        <v>3.8730000000000002</v>
      </c>
    </row>
    <row r="90" spans="1:6" x14ac:dyDescent="0.25">
      <c r="A90" s="48">
        <v>44599</v>
      </c>
      <c r="B90" s="49" t="s">
        <v>87</v>
      </c>
      <c r="C90" s="50">
        <v>3839</v>
      </c>
      <c r="D90" s="56">
        <v>3848</v>
      </c>
      <c r="E90" s="58">
        <f t="shared" si="1"/>
        <v>3.839</v>
      </c>
      <c r="F90" s="58">
        <f t="shared" si="1"/>
        <v>3.8479999999999999</v>
      </c>
    </row>
    <row r="91" spans="1:6" x14ac:dyDescent="0.25">
      <c r="A91" s="48">
        <v>44600</v>
      </c>
      <c r="B91" s="49" t="s">
        <v>87</v>
      </c>
      <c r="C91" s="50">
        <v>3837</v>
      </c>
      <c r="D91" s="56">
        <v>3845</v>
      </c>
      <c r="E91" s="58">
        <f t="shared" si="1"/>
        <v>3.8370000000000002</v>
      </c>
      <c r="F91" s="58">
        <f t="shared" si="1"/>
        <v>3.8450000000000002</v>
      </c>
    </row>
    <row r="92" spans="1:6" x14ac:dyDescent="0.25">
      <c r="A92" s="48">
        <v>44601</v>
      </c>
      <c r="B92" s="49" t="s">
        <v>87</v>
      </c>
      <c r="C92" s="50">
        <v>3821</v>
      </c>
      <c r="D92" s="56">
        <v>3834</v>
      </c>
      <c r="E92" s="58">
        <f t="shared" si="1"/>
        <v>3.8210000000000002</v>
      </c>
      <c r="F92" s="58">
        <f t="shared" si="1"/>
        <v>3.8340000000000001</v>
      </c>
    </row>
    <row r="93" spans="1:6" x14ac:dyDescent="0.25">
      <c r="A93" s="48">
        <v>44602</v>
      </c>
      <c r="B93" s="49" t="s">
        <v>87</v>
      </c>
      <c r="C93" s="50">
        <v>3756</v>
      </c>
      <c r="D93" s="56">
        <v>3767</v>
      </c>
      <c r="E93" s="58">
        <f t="shared" si="1"/>
        <v>3.7559999999999998</v>
      </c>
      <c r="F93" s="58">
        <f t="shared" si="1"/>
        <v>3.7669999999999999</v>
      </c>
    </row>
    <row r="94" spans="1:6" x14ac:dyDescent="0.25">
      <c r="A94" s="48">
        <v>44603</v>
      </c>
      <c r="B94" s="49" t="s">
        <v>87</v>
      </c>
      <c r="C94" s="50">
        <v>3749</v>
      </c>
      <c r="D94" s="56">
        <v>3758</v>
      </c>
      <c r="E94" s="58">
        <f t="shared" si="1"/>
        <v>3.7490000000000001</v>
      </c>
      <c r="F94" s="58">
        <f t="shared" si="1"/>
        <v>3.758</v>
      </c>
    </row>
    <row r="95" spans="1:6" x14ac:dyDescent="0.25">
      <c r="A95" s="48">
        <v>44606</v>
      </c>
      <c r="B95" s="49" t="s">
        <v>87</v>
      </c>
      <c r="C95" s="50">
        <v>3782</v>
      </c>
      <c r="D95" s="56">
        <v>3789</v>
      </c>
      <c r="E95" s="58">
        <f t="shared" si="1"/>
        <v>3.782</v>
      </c>
      <c r="F95" s="58">
        <f t="shared" si="1"/>
        <v>3.7890000000000001</v>
      </c>
    </row>
    <row r="96" spans="1:6" x14ac:dyDescent="0.25">
      <c r="A96" s="48">
        <v>44607</v>
      </c>
      <c r="B96" s="49" t="s">
        <v>87</v>
      </c>
      <c r="C96" s="50">
        <v>3797</v>
      </c>
      <c r="D96" s="56">
        <v>3806</v>
      </c>
      <c r="E96" s="58">
        <f t="shared" si="1"/>
        <v>3.7970000000000002</v>
      </c>
      <c r="F96" s="58">
        <f t="shared" si="1"/>
        <v>3.806</v>
      </c>
    </row>
    <row r="97" spans="1:6" x14ac:dyDescent="0.25">
      <c r="A97" s="48">
        <v>44608</v>
      </c>
      <c r="B97" s="49" t="s">
        <v>87</v>
      </c>
      <c r="C97" s="50">
        <v>3769</v>
      </c>
      <c r="D97" s="56">
        <v>3785</v>
      </c>
      <c r="E97" s="58">
        <f t="shared" si="1"/>
        <v>3.7690000000000001</v>
      </c>
      <c r="F97" s="58">
        <f t="shared" si="1"/>
        <v>3.7850000000000001</v>
      </c>
    </row>
    <row r="98" spans="1:6" x14ac:dyDescent="0.25">
      <c r="A98" s="48">
        <v>44609</v>
      </c>
      <c r="B98" s="49" t="s">
        <v>87</v>
      </c>
      <c r="C98" s="50">
        <v>3747</v>
      </c>
      <c r="D98" s="56">
        <v>3750</v>
      </c>
      <c r="E98" s="58">
        <f t="shared" si="1"/>
        <v>3.7469999999999999</v>
      </c>
      <c r="F98" s="58">
        <f t="shared" si="1"/>
        <v>3.75</v>
      </c>
    </row>
    <row r="99" spans="1:6" x14ac:dyDescent="0.25">
      <c r="A99" s="48">
        <v>44610</v>
      </c>
      <c r="B99" s="49" t="s">
        <v>87</v>
      </c>
      <c r="C99" s="50">
        <v>3712</v>
      </c>
      <c r="D99" s="56">
        <v>3726</v>
      </c>
      <c r="E99" s="58">
        <f t="shared" si="1"/>
        <v>3.7120000000000002</v>
      </c>
      <c r="F99" s="58">
        <f t="shared" si="1"/>
        <v>3.726</v>
      </c>
    </row>
    <row r="100" spans="1:6" x14ac:dyDescent="0.25">
      <c r="A100" s="48">
        <v>44613</v>
      </c>
      <c r="B100" s="49" t="s">
        <v>87</v>
      </c>
      <c r="C100" s="50">
        <v>3738</v>
      </c>
      <c r="D100" s="56">
        <v>3752</v>
      </c>
      <c r="E100" s="58">
        <f t="shared" si="1"/>
        <v>3.738</v>
      </c>
      <c r="F100" s="58">
        <f t="shared" si="1"/>
        <v>3.7519999999999998</v>
      </c>
    </row>
    <row r="101" spans="1:6" x14ac:dyDescent="0.25">
      <c r="A101" s="48">
        <v>44614</v>
      </c>
      <c r="B101" s="49" t="s">
        <v>87</v>
      </c>
      <c r="C101" s="50">
        <v>3737</v>
      </c>
      <c r="D101" s="56">
        <v>3745</v>
      </c>
      <c r="E101" s="58">
        <f t="shared" si="1"/>
        <v>3.7370000000000001</v>
      </c>
      <c r="F101" s="58">
        <f t="shared" si="1"/>
        <v>3.7450000000000001</v>
      </c>
    </row>
    <row r="102" spans="1:6" x14ac:dyDescent="0.25">
      <c r="A102" s="48">
        <v>44615</v>
      </c>
      <c r="B102" s="49" t="s">
        <v>87</v>
      </c>
      <c r="C102" s="50">
        <v>3709</v>
      </c>
      <c r="D102" s="56">
        <v>3715</v>
      </c>
      <c r="E102" s="58">
        <f t="shared" si="1"/>
        <v>3.7090000000000001</v>
      </c>
      <c r="F102" s="58">
        <f t="shared" si="1"/>
        <v>3.7149999999999999</v>
      </c>
    </row>
    <row r="103" spans="1:6" x14ac:dyDescent="0.25">
      <c r="A103" s="48">
        <v>44616</v>
      </c>
      <c r="B103" s="49" t="s">
        <v>87</v>
      </c>
      <c r="C103" s="50">
        <v>3786</v>
      </c>
      <c r="D103" s="56">
        <v>3788</v>
      </c>
      <c r="E103" s="58">
        <f t="shared" si="1"/>
        <v>3.786</v>
      </c>
      <c r="F103" s="58">
        <f t="shared" si="1"/>
        <v>3.7879999999999998</v>
      </c>
    </row>
    <row r="104" spans="1:6" x14ac:dyDescent="0.25">
      <c r="A104" s="48">
        <v>44617</v>
      </c>
      <c r="B104" s="49" t="s">
        <v>87</v>
      </c>
      <c r="C104" s="50">
        <v>3753</v>
      </c>
      <c r="D104" s="56">
        <v>3763</v>
      </c>
      <c r="E104" s="58">
        <f t="shared" si="1"/>
        <v>3.7530000000000001</v>
      </c>
      <c r="F104" s="58">
        <f t="shared" si="1"/>
        <v>3.7629999999999999</v>
      </c>
    </row>
    <row r="105" spans="1:6" x14ac:dyDescent="0.25">
      <c r="A105" s="48">
        <v>44620</v>
      </c>
      <c r="B105" s="49" t="s">
        <v>87</v>
      </c>
      <c r="C105" s="50">
        <v>3753</v>
      </c>
      <c r="D105" s="56">
        <v>3759</v>
      </c>
      <c r="E105" s="58">
        <f t="shared" si="1"/>
        <v>3.7530000000000001</v>
      </c>
      <c r="F105" s="58">
        <f t="shared" si="1"/>
        <v>3.7589999999999999</v>
      </c>
    </row>
    <row r="106" spans="1:6" x14ac:dyDescent="0.25">
      <c r="A106" s="48">
        <v>44621</v>
      </c>
      <c r="B106" s="49" t="s">
        <v>87</v>
      </c>
      <c r="C106" s="50">
        <v>3782</v>
      </c>
      <c r="D106" s="56">
        <v>3791</v>
      </c>
      <c r="E106" s="58">
        <f t="shared" si="1"/>
        <v>3.782</v>
      </c>
      <c r="F106" s="58">
        <f t="shared" si="1"/>
        <v>3.7909999999999999</v>
      </c>
    </row>
    <row r="107" spans="1:6" x14ac:dyDescent="0.25">
      <c r="A107" s="48">
        <v>44622</v>
      </c>
      <c r="B107" s="49" t="s">
        <v>87</v>
      </c>
      <c r="C107" s="50">
        <v>3763</v>
      </c>
      <c r="D107" s="56">
        <v>3770</v>
      </c>
      <c r="E107" s="58">
        <f t="shared" si="1"/>
        <v>3.7629999999999999</v>
      </c>
      <c r="F107" s="58">
        <f t="shared" si="1"/>
        <v>3.77</v>
      </c>
    </row>
    <row r="108" spans="1:6" x14ac:dyDescent="0.25">
      <c r="A108" s="48">
        <v>44623</v>
      </c>
      <c r="B108" s="49" t="s">
        <v>87</v>
      </c>
      <c r="C108" s="50">
        <v>3725</v>
      </c>
      <c r="D108" s="56">
        <v>3735</v>
      </c>
      <c r="E108" s="58">
        <f t="shared" si="1"/>
        <v>3.7250000000000001</v>
      </c>
      <c r="F108" s="58">
        <f t="shared" si="1"/>
        <v>3.7349999999999999</v>
      </c>
    </row>
    <row r="109" spans="1:6" x14ac:dyDescent="0.25">
      <c r="A109" s="48">
        <v>44624</v>
      </c>
      <c r="B109" s="49" t="s">
        <v>87</v>
      </c>
      <c r="C109" s="50">
        <v>3746</v>
      </c>
      <c r="D109" s="56">
        <v>3760</v>
      </c>
      <c r="E109" s="58">
        <f t="shared" si="1"/>
        <v>3.746</v>
      </c>
      <c r="F109" s="58">
        <f t="shared" si="1"/>
        <v>3.76</v>
      </c>
    </row>
    <row r="110" spans="1:6" x14ac:dyDescent="0.25">
      <c r="A110" s="48">
        <v>44627</v>
      </c>
      <c r="B110" s="49" t="s">
        <v>87</v>
      </c>
      <c r="C110" s="50">
        <v>3742</v>
      </c>
      <c r="D110" s="56">
        <v>3751</v>
      </c>
      <c r="E110" s="58">
        <f t="shared" si="1"/>
        <v>3.742</v>
      </c>
      <c r="F110" s="58">
        <f t="shared" si="1"/>
        <v>3.7509999999999999</v>
      </c>
    </row>
    <row r="111" spans="1:6" x14ac:dyDescent="0.25">
      <c r="A111" s="48">
        <v>44628</v>
      </c>
      <c r="B111" s="49" t="s">
        <v>87</v>
      </c>
      <c r="C111" s="50">
        <v>3729</v>
      </c>
      <c r="D111" s="56">
        <v>3736</v>
      </c>
      <c r="E111" s="58">
        <f t="shared" si="1"/>
        <v>3.7290000000000001</v>
      </c>
      <c r="F111" s="58">
        <f t="shared" si="1"/>
        <v>3.7360000000000002</v>
      </c>
    </row>
    <row r="112" spans="1:6" x14ac:dyDescent="0.25">
      <c r="A112" s="48">
        <v>44629</v>
      </c>
      <c r="B112" s="49" t="s">
        <v>87</v>
      </c>
      <c r="C112" s="50">
        <v>3714</v>
      </c>
      <c r="D112" s="56">
        <v>3718</v>
      </c>
      <c r="E112" s="58">
        <f t="shared" si="1"/>
        <v>3.714</v>
      </c>
      <c r="F112" s="58">
        <f t="shared" si="1"/>
        <v>3.718</v>
      </c>
    </row>
    <row r="113" spans="1:6" x14ac:dyDescent="0.25">
      <c r="A113" s="48">
        <v>44630</v>
      </c>
      <c r="B113" s="49" t="s">
        <v>87</v>
      </c>
      <c r="C113" s="50">
        <v>3714</v>
      </c>
      <c r="D113" s="56">
        <v>3721</v>
      </c>
      <c r="E113" s="58">
        <f t="shared" si="1"/>
        <v>3.714</v>
      </c>
      <c r="F113" s="58">
        <f t="shared" si="1"/>
        <v>3.7210000000000001</v>
      </c>
    </row>
    <row r="114" spans="1:6" x14ac:dyDescent="0.25">
      <c r="A114" s="48">
        <v>44631</v>
      </c>
      <c r="B114" s="49" t="s">
        <v>87</v>
      </c>
      <c r="C114" s="50">
        <v>3688</v>
      </c>
      <c r="D114" s="56">
        <v>3698</v>
      </c>
      <c r="E114" s="58">
        <f t="shared" si="1"/>
        <v>3.6880000000000002</v>
      </c>
      <c r="F114" s="58">
        <f t="shared" si="1"/>
        <v>3.698</v>
      </c>
    </row>
    <row r="115" spans="1:6" x14ac:dyDescent="0.25">
      <c r="A115" s="48">
        <v>44634</v>
      </c>
      <c r="B115" s="49" t="s">
        <v>87</v>
      </c>
      <c r="C115" s="50">
        <v>3708</v>
      </c>
      <c r="D115" s="56">
        <v>3715</v>
      </c>
      <c r="E115" s="58">
        <f t="shared" si="1"/>
        <v>3.7080000000000002</v>
      </c>
      <c r="F115" s="58">
        <f t="shared" si="1"/>
        <v>3.7149999999999999</v>
      </c>
    </row>
    <row r="116" spans="1:6" x14ac:dyDescent="0.25">
      <c r="A116" s="48">
        <v>44635</v>
      </c>
      <c r="B116" s="49" t="s">
        <v>87</v>
      </c>
      <c r="C116" s="50">
        <v>3726</v>
      </c>
      <c r="D116" s="56">
        <v>3735</v>
      </c>
      <c r="E116" s="58">
        <f t="shared" si="1"/>
        <v>3.726</v>
      </c>
      <c r="F116" s="58">
        <f t="shared" si="1"/>
        <v>3.7349999999999999</v>
      </c>
    </row>
    <row r="117" spans="1:6" x14ac:dyDescent="0.25">
      <c r="A117" s="48">
        <v>44636</v>
      </c>
      <c r="B117" s="49" t="s">
        <v>87</v>
      </c>
      <c r="C117" s="50">
        <v>3723</v>
      </c>
      <c r="D117" s="56">
        <v>3729</v>
      </c>
      <c r="E117" s="58">
        <f t="shared" si="1"/>
        <v>3.7229999999999999</v>
      </c>
      <c r="F117" s="58">
        <f t="shared" si="1"/>
        <v>3.7290000000000001</v>
      </c>
    </row>
    <row r="118" spans="1:6" x14ac:dyDescent="0.25">
      <c r="A118" s="48">
        <v>44637</v>
      </c>
      <c r="B118" s="49" t="s">
        <v>87</v>
      </c>
      <c r="C118" s="50">
        <v>3730</v>
      </c>
      <c r="D118" s="56">
        <v>3736</v>
      </c>
      <c r="E118" s="58">
        <f t="shared" si="1"/>
        <v>3.73</v>
      </c>
      <c r="F118" s="58">
        <f t="shared" si="1"/>
        <v>3.7360000000000002</v>
      </c>
    </row>
    <row r="119" spans="1:6" x14ac:dyDescent="0.25">
      <c r="A119" s="48">
        <v>44638</v>
      </c>
      <c r="B119" s="49" t="s">
        <v>87</v>
      </c>
      <c r="C119" s="50">
        <v>3761</v>
      </c>
      <c r="D119" s="56">
        <v>3776</v>
      </c>
      <c r="E119" s="58">
        <f t="shared" si="1"/>
        <v>3.7610000000000001</v>
      </c>
      <c r="F119" s="58">
        <f t="shared" si="1"/>
        <v>3.7759999999999998</v>
      </c>
    </row>
    <row r="120" spans="1:6" x14ac:dyDescent="0.25">
      <c r="A120" s="48">
        <v>44641</v>
      </c>
      <c r="B120" s="49" t="s">
        <v>87</v>
      </c>
      <c r="C120" s="50">
        <v>3782</v>
      </c>
      <c r="D120" s="56">
        <v>3790</v>
      </c>
      <c r="E120" s="58">
        <f t="shared" si="1"/>
        <v>3.782</v>
      </c>
      <c r="F120" s="58">
        <f t="shared" si="1"/>
        <v>3.79</v>
      </c>
    </row>
    <row r="121" spans="1:6" x14ac:dyDescent="0.25">
      <c r="A121" s="48">
        <v>44642</v>
      </c>
      <c r="B121" s="49" t="s">
        <v>87</v>
      </c>
      <c r="C121" s="50">
        <v>3769</v>
      </c>
      <c r="D121" s="56">
        <v>3776</v>
      </c>
      <c r="E121" s="58">
        <f t="shared" si="1"/>
        <v>3.7690000000000001</v>
      </c>
      <c r="F121" s="58">
        <f t="shared" si="1"/>
        <v>3.7759999999999998</v>
      </c>
    </row>
    <row r="122" spans="1:6" x14ac:dyDescent="0.25">
      <c r="A122" s="48">
        <v>44643</v>
      </c>
      <c r="B122" s="49" t="s">
        <v>87</v>
      </c>
      <c r="C122" s="50">
        <v>3766</v>
      </c>
      <c r="D122" s="56">
        <v>3773</v>
      </c>
      <c r="E122" s="58">
        <f t="shared" si="1"/>
        <v>3.766</v>
      </c>
      <c r="F122" s="58">
        <f t="shared" si="1"/>
        <v>3.7730000000000001</v>
      </c>
    </row>
    <row r="123" spans="1:6" x14ac:dyDescent="0.25">
      <c r="A123" s="48">
        <v>44644</v>
      </c>
      <c r="B123" s="49" t="s">
        <v>87</v>
      </c>
      <c r="C123" s="50">
        <v>3743</v>
      </c>
      <c r="D123" s="56">
        <v>3756</v>
      </c>
      <c r="E123" s="58">
        <f t="shared" si="1"/>
        <v>3.7429999999999999</v>
      </c>
      <c r="F123" s="58">
        <f t="shared" si="1"/>
        <v>3.7559999999999998</v>
      </c>
    </row>
    <row r="124" spans="1:6" x14ac:dyDescent="0.25">
      <c r="A124" s="48">
        <v>44645</v>
      </c>
      <c r="B124" s="49" t="s">
        <v>87</v>
      </c>
      <c r="C124" s="50">
        <v>3725</v>
      </c>
      <c r="D124" s="56">
        <v>3731</v>
      </c>
      <c r="E124" s="58">
        <f t="shared" si="1"/>
        <v>3.7250000000000001</v>
      </c>
      <c r="F124" s="58">
        <f t="shared" si="1"/>
        <v>3.7309999999999999</v>
      </c>
    </row>
    <row r="125" spans="1:6" x14ac:dyDescent="0.25">
      <c r="A125" s="48">
        <v>44648</v>
      </c>
      <c r="B125" s="49" t="s">
        <v>87</v>
      </c>
      <c r="C125" s="50">
        <v>3726</v>
      </c>
      <c r="D125" s="56">
        <v>3737</v>
      </c>
      <c r="E125" s="58">
        <f t="shared" si="1"/>
        <v>3.726</v>
      </c>
      <c r="F125" s="58">
        <f t="shared" si="1"/>
        <v>3.7370000000000001</v>
      </c>
    </row>
    <row r="126" spans="1:6" x14ac:dyDescent="0.25">
      <c r="A126" s="48">
        <v>44649</v>
      </c>
      <c r="B126" s="49" t="s">
        <v>87</v>
      </c>
      <c r="C126" s="50">
        <v>3717</v>
      </c>
      <c r="D126" s="56">
        <v>3724</v>
      </c>
      <c r="E126" s="58">
        <f t="shared" si="1"/>
        <v>3.7170000000000001</v>
      </c>
      <c r="F126" s="58">
        <f t="shared" si="1"/>
        <v>3.7240000000000002</v>
      </c>
    </row>
    <row r="127" spans="1:6" x14ac:dyDescent="0.25">
      <c r="A127" s="48">
        <v>44650</v>
      </c>
      <c r="B127" s="49" t="s">
        <v>87</v>
      </c>
      <c r="C127" s="50">
        <v>3723</v>
      </c>
      <c r="D127" s="56">
        <v>3728</v>
      </c>
      <c r="E127" s="58">
        <f t="shared" si="1"/>
        <v>3.7229999999999999</v>
      </c>
      <c r="F127" s="58">
        <f t="shared" si="1"/>
        <v>3.7280000000000002</v>
      </c>
    </row>
    <row r="128" spans="1:6" x14ac:dyDescent="0.25">
      <c r="A128" s="48">
        <v>44651</v>
      </c>
      <c r="B128" s="49" t="s">
        <v>87</v>
      </c>
      <c r="C128" s="50">
        <v>3695</v>
      </c>
      <c r="D128" s="56">
        <v>3701</v>
      </c>
      <c r="E128" s="58">
        <f t="shared" si="1"/>
        <v>3.6949999999999998</v>
      </c>
      <c r="F128" s="58">
        <f t="shared" si="1"/>
        <v>3.7010000000000001</v>
      </c>
    </row>
    <row r="129" spans="1:6" x14ac:dyDescent="0.25">
      <c r="A129" s="48">
        <v>44652</v>
      </c>
      <c r="B129" s="49" t="s">
        <v>87</v>
      </c>
      <c r="C129" s="50">
        <v>3641</v>
      </c>
      <c r="D129" s="56">
        <v>3663</v>
      </c>
      <c r="E129" s="58">
        <f t="shared" si="1"/>
        <v>3.641</v>
      </c>
      <c r="F129" s="58">
        <f t="shared" si="1"/>
        <v>3.6629999999999998</v>
      </c>
    </row>
    <row r="130" spans="1:6" x14ac:dyDescent="0.25">
      <c r="A130" s="48">
        <v>44655</v>
      </c>
      <c r="B130" s="49" t="s">
        <v>87</v>
      </c>
      <c r="C130" s="50">
        <v>3627</v>
      </c>
      <c r="D130" s="56">
        <v>3634</v>
      </c>
      <c r="E130" s="58">
        <f t="shared" si="1"/>
        <v>3.6269999999999998</v>
      </c>
      <c r="F130" s="58">
        <f t="shared" si="1"/>
        <v>3.6339999999999999</v>
      </c>
    </row>
    <row r="131" spans="1:6" x14ac:dyDescent="0.25">
      <c r="A131" s="48">
        <v>44656</v>
      </c>
      <c r="B131" s="49" t="s">
        <v>87</v>
      </c>
      <c r="C131" s="50">
        <v>3686</v>
      </c>
      <c r="D131" s="56">
        <v>3690</v>
      </c>
      <c r="E131" s="58">
        <f t="shared" ref="E131:F194" si="2">C131/1000</f>
        <v>3.6859999999999999</v>
      </c>
      <c r="F131" s="58">
        <f t="shared" si="2"/>
        <v>3.69</v>
      </c>
    </row>
    <row r="132" spans="1:6" x14ac:dyDescent="0.25">
      <c r="A132" s="48">
        <v>44657</v>
      </c>
      <c r="B132" s="49" t="s">
        <v>87</v>
      </c>
      <c r="C132" s="50">
        <v>3710</v>
      </c>
      <c r="D132" s="56">
        <v>3720</v>
      </c>
      <c r="E132" s="58">
        <f t="shared" si="2"/>
        <v>3.71</v>
      </c>
      <c r="F132" s="58">
        <f t="shared" si="2"/>
        <v>3.72</v>
      </c>
    </row>
    <row r="133" spans="1:6" x14ac:dyDescent="0.25">
      <c r="A133" s="48">
        <v>44658</v>
      </c>
      <c r="B133" s="49" t="s">
        <v>87</v>
      </c>
      <c r="C133" s="50">
        <v>3707</v>
      </c>
      <c r="D133" s="56">
        <v>3714</v>
      </c>
      <c r="E133" s="58">
        <f t="shared" si="2"/>
        <v>3.7069999999999999</v>
      </c>
      <c r="F133" s="58">
        <f t="shared" si="2"/>
        <v>3.714</v>
      </c>
    </row>
    <row r="134" spans="1:6" x14ac:dyDescent="0.25">
      <c r="A134" s="48">
        <v>44659</v>
      </c>
      <c r="B134" s="49" t="s">
        <v>87</v>
      </c>
      <c r="C134" s="50">
        <v>3709</v>
      </c>
      <c r="D134" s="56">
        <v>3715</v>
      </c>
      <c r="E134" s="58">
        <f t="shared" si="2"/>
        <v>3.7090000000000001</v>
      </c>
      <c r="F134" s="58">
        <f t="shared" si="2"/>
        <v>3.7149999999999999</v>
      </c>
    </row>
    <row r="135" spans="1:6" x14ac:dyDescent="0.25">
      <c r="A135" s="48">
        <v>44662</v>
      </c>
      <c r="B135" s="49" t="s">
        <v>87</v>
      </c>
      <c r="C135" s="50">
        <v>3709</v>
      </c>
      <c r="D135" s="56">
        <v>3721</v>
      </c>
      <c r="E135" s="58">
        <f t="shared" si="2"/>
        <v>3.7090000000000001</v>
      </c>
      <c r="F135" s="58">
        <f t="shared" si="2"/>
        <v>3.7210000000000001</v>
      </c>
    </row>
    <row r="136" spans="1:6" x14ac:dyDescent="0.25">
      <c r="A136" s="48">
        <v>44663</v>
      </c>
      <c r="B136" s="49" t="s">
        <v>87</v>
      </c>
      <c r="C136" s="50">
        <v>3698</v>
      </c>
      <c r="D136" s="56">
        <v>3706</v>
      </c>
      <c r="E136" s="58">
        <f t="shared" si="2"/>
        <v>3.698</v>
      </c>
      <c r="F136" s="58">
        <f t="shared" si="2"/>
        <v>3.706</v>
      </c>
    </row>
    <row r="137" spans="1:6" x14ac:dyDescent="0.25">
      <c r="A137" s="48">
        <v>44664</v>
      </c>
      <c r="B137" s="49" t="s">
        <v>87</v>
      </c>
      <c r="C137" s="50">
        <v>3728</v>
      </c>
      <c r="D137" s="56">
        <v>3736</v>
      </c>
      <c r="E137" s="58">
        <f t="shared" si="2"/>
        <v>3.7280000000000002</v>
      </c>
      <c r="F137" s="58">
        <f t="shared" si="2"/>
        <v>3.7360000000000002</v>
      </c>
    </row>
    <row r="138" spans="1:6" x14ac:dyDescent="0.25">
      <c r="A138" s="48">
        <v>44669</v>
      </c>
      <c r="B138" s="49" t="s">
        <v>87</v>
      </c>
      <c r="C138" s="50">
        <v>3730</v>
      </c>
      <c r="D138" s="56">
        <v>3742</v>
      </c>
      <c r="E138" s="58">
        <f t="shared" si="2"/>
        <v>3.73</v>
      </c>
      <c r="F138" s="58">
        <f t="shared" si="2"/>
        <v>3.742</v>
      </c>
    </row>
    <row r="139" spans="1:6" x14ac:dyDescent="0.25">
      <c r="A139" s="48">
        <v>44670</v>
      </c>
      <c r="B139" s="49" t="s">
        <v>87</v>
      </c>
      <c r="C139" s="50">
        <v>3725</v>
      </c>
      <c r="D139" s="56">
        <v>3736</v>
      </c>
      <c r="E139" s="58">
        <f t="shared" si="2"/>
        <v>3.7250000000000001</v>
      </c>
      <c r="F139" s="58">
        <f t="shared" si="2"/>
        <v>3.7360000000000002</v>
      </c>
    </row>
    <row r="140" spans="1:6" x14ac:dyDescent="0.25">
      <c r="A140" s="48">
        <v>44671</v>
      </c>
      <c r="B140" s="49" t="s">
        <v>87</v>
      </c>
      <c r="C140" s="50">
        <v>3702</v>
      </c>
      <c r="D140" s="56">
        <v>3709</v>
      </c>
      <c r="E140" s="58">
        <f t="shared" si="2"/>
        <v>3.702</v>
      </c>
      <c r="F140" s="58">
        <f t="shared" si="2"/>
        <v>3.7090000000000001</v>
      </c>
    </row>
    <row r="141" spans="1:6" x14ac:dyDescent="0.25">
      <c r="A141" s="48">
        <v>44672</v>
      </c>
      <c r="B141" s="49" t="s">
        <v>87</v>
      </c>
      <c r="C141" s="50">
        <v>3723</v>
      </c>
      <c r="D141" s="56">
        <v>3734</v>
      </c>
      <c r="E141" s="58">
        <f t="shared" si="2"/>
        <v>3.7229999999999999</v>
      </c>
      <c r="F141" s="58">
        <f t="shared" si="2"/>
        <v>3.734</v>
      </c>
    </row>
    <row r="142" spans="1:6" x14ac:dyDescent="0.25">
      <c r="A142" s="48">
        <v>44673</v>
      </c>
      <c r="B142" s="49" t="s">
        <v>87</v>
      </c>
      <c r="C142" s="50">
        <v>3758</v>
      </c>
      <c r="D142" s="56">
        <v>3766</v>
      </c>
      <c r="E142" s="58">
        <f t="shared" si="2"/>
        <v>3.758</v>
      </c>
      <c r="F142" s="58">
        <f t="shared" si="2"/>
        <v>3.766</v>
      </c>
    </row>
    <row r="143" spans="1:6" x14ac:dyDescent="0.25">
      <c r="A143" s="48">
        <v>44676</v>
      </c>
      <c r="B143" s="49" t="s">
        <v>87</v>
      </c>
      <c r="C143" s="50">
        <v>3807</v>
      </c>
      <c r="D143" s="56">
        <v>3815</v>
      </c>
      <c r="E143" s="58">
        <f t="shared" si="2"/>
        <v>3.8069999999999999</v>
      </c>
      <c r="F143" s="58">
        <f t="shared" si="2"/>
        <v>3.8149999999999999</v>
      </c>
    </row>
    <row r="144" spans="1:6" x14ac:dyDescent="0.25">
      <c r="A144" s="48">
        <v>44677</v>
      </c>
      <c r="B144" s="49" t="s">
        <v>87</v>
      </c>
      <c r="C144" s="50">
        <v>3811</v>
      </c>
      <c r="D144" s="56">
        <v>3818</v>
      </c>
      <c r="E144" s="58">
        <f t="shared" si="2"/>
        <v>3.8109999999999999</v>
      </c>
      <c r="F144" s="58">
        <f t="shared" si="2"/>
        <v>3.8180000000000001</v>
      </c>
    </row>
    <row r="145" spans="1:6" x14ac:dyDescent="0.25">
      <c r="A145" s="48">
        <v>44678</v>
      </c>
      <c r="B145" s="49" t="s">
        <v>87</v>
      </c>
      <c r="C145" s="50">
        <v>3824</v>
      </c>
      <c r="D145" s="56">
        <v>3830</v>
      </c>
      <c r="E145" s="58">
        <f t="shared" si="2"/>
        <v>3.8239999999999998</v>
      </c>
      <c r="F145" s="58">
        <f t="shared" si="2"/>
        <v>3.83</v>
      </c>
    </row>
    <row r="146" spans="1:6" x14ac:dyDescent="0.25">
      <c r="A146" s="48">
        <v>44679</v>
      </c>
      <c r="B146" s="49" t="s">
        <v>87</v>
      </c>
      <c r="C146" s="50">
        <v>3846</v>
      </c>
      <c r="D146" s="56">
        <v>3852</v>
      </c>
      <c r="E146" s="58">
        <f t="shared" si="2"/>
        <v>3.8460000000000001</v>
      </c>
      <c r="F146" s="58">
        <f t="shared" si="2"/>
        <v>3.8519999999999999</v>
      </c>
    </row>
    <row r="147" spans="1:6" x14ac:dyDescent="0.25">
      <c r="A147" s="48">
        <v>44680</v>
      </c>
      <c r="B147" s="49" t="s">
        <v>87</v>
      </c>
      <c r="C147" s="50">
        <v>3830</v>
      </c>
      <c r="D147" s="56">
        <v>3838</v>
      </c>
      <c r="E147" s="58">
        <f t="shared" si="2"/>
        <v>3.83</v>
      </c>
      <c r="F147" s="58">
        <f t="shared" si="2"/>
        <v>3.8380000000000001</v>
      </c>
    </row>
    <row r="148" spans="1:6" x14ac:dyDescent="0.25">
      <c r="A148" s="48">
        <v>44683</v>
      </c>
      <c r="B148" s="49" t="s">
        <v>87</v>
      </c>
      <c r="C148" s="50">
        <v>3838</v>
      </c>
      <c r="D148" s="56">
        <v>3848</v>
      </c>
      <c r="E148" s="58">
        <f t="shared" si="2"/>
        <v>3.8380000000000001</v>
      </c>
      <c r="F148" s="58">
        <f t="shared" si="2"/>
        <v>3.8479999999999999</v>
      </c>
    </row>
    <row r="149" spans="1:6" x14ac:dyDescent="0.25">
      <c r="A149" s="48">
        <v>44684</v>
      </c>
      <c r="B149" s="49" t="s">
        <v>87</v>
      </c>
      <c r="C149" s="50">
        <v>3824</v>
      </c>
      <c r="D149" s="56">
        <v>3826</v>
      </c>
      <c r="E149" s="58">
        <f t="shared" si="2"/>
        <v>3.8239999999999998</v>
      </c>
      <c r="F149" s="58">
        <f t="shared" si="2"/>
        <v>3.8260000000000001</v>
      </c>
    </row>
    <row r="150" spans="1:6" x14ac:dyDescent="0.25">
      <c r="A150" s="48">
        <v>44685</v>
      </c>
      <c r="B150" s="49" t="s">
        <v>87</v>
      </c>
      <c r="C150" s="50">
        <v>3797</v>
      </c>
      <c r="D150" s="56">
        <v>3805</v>
      </c>
      <c r="E150" s="58">
        <f t="shared" si="2"/>
        <v>3.7970000000000002</v>
      </c>
      <c r="F150" s="58">
        <f t="shared" si="2"/>
        <v>3.8050000000000002</v>
      </c>
    </row>
    <row r="151" spans="1:6" x14ac:dyDescent="0.25">
      <c r="A151" s="48">
        <v>44686</v>
      </c>
      <c r="B151" s="49" t="s">
        <v>87</v>
      </c>
      <c r="C151" s="50">
        <v>3786</v>
      </c>
      <c r="D151" s="56">
        <v>3790</v>
      </c>
      <c r="E151" s="58">
        <f t="shared" si="2"/>
        <v>3.786</v>
      </c>
      <c r="F151" s="58">
        <f t="shared" si="2"/>
        <v>3.79</v>
      </c>
    </row>
    <row r="152" spans="1:6" x14ac:dyDescent="0.25">
      <c r="A152" s="48">
        <v>44687</v>
      </c>
      <c r="B152" s="49" t="s">
        <v>87</v>
      </c>
      <c r="C152" s="50">
        <v>3803</v>
      </c>
      <c r="D152" s="56">
        <v>3811</v>
      </c>
      <c r="E152" s="58">
        <f t="shared" si="2"/>
        <v>3.8029999999999999</v>
      </c>
      <c r="F152" s="58">
        <f t="shared" si="2"/>
        <v>3.8109999999999999</v>
      </c>
    </row>
    <row r="153" spans="1:6" x14ac:dyDescent="0.25">
      <c r="A153" s="48">
        <v>44690</v>
      </c>
      <c r="B153" s="49" t="s">
        <v>87</v>
      </c>
      <c r="C153" s="50">
        <v>3814</v>
      </c>
      <c r="D153" s="56">
        <v>3814</v>
      </c>
      <c r="E153" s="58">
        <f t="shared" si="2"/>
        <v>3.8140000000000001</v>
      </c>
      <c r="F153" s="58">
        <f t="shared" si="2"/>
        <v>3.8140000000000001</v>
      </c>
    </row>
    <row r="154" spans="1:6" x14ac:dyDescent="0.25">
      <c r="A154" s="48">
        <v>44691</v>
      </c>
      <c r="B154" s="49" t="s">
        <v>87</v>
      </c>
      <c r="C154" s="50">
        <v>3810</v>
      </c>
      <c r="D154" s="56">
        <v>3816</v>
      </c>
      <c r="E154" s="58">
        <f t="shared" si="2"/>
        <v>3.81</v>
      </c>
      <c r="F154" s="58">
        <f t="shared" si="2"/>
        <v>3.8159999999999998</v>
      </c>
    </row>
    <row r="155" spans="1:6" x14ac:dyDescent="0.25">
      <c r="A155" s="48">
        <v>44692</v>
      </c>
      <c r="B155" s="49" t="s">
        <v>87</v>
      </c>
      <c r="C155" s="50">
        <v>3780</v>
      </c>
      <c r="D155" s="56">
        <v>3788</v>
      </c>
      <c r="E155" s="58">
        <f t="shared" si="2"/>
        <v>3.78</v>
      </c>
      <c r="F155" s="58">
        <f t="shared" si="2"/>
        <v>3.7879999999999998</v>
      </c>
    </row>
    <row r="156" spans="1:6" x14ac:dyDescent="0.25">
      <c r="A156" s="48">
        <v>44693</v>
      </c>
      <c r="B156" s="49" t="s">
        <v>87</v>
      </c>
      <c r="C156" s="50">
        <v>3795</v>
      </c>
      <c r="D156" s="56">
        <v>3801</v>
      </c>
      <c r="E156" s="58">
        <f t="shared" si="2"/>
        <v>3.7949999999999999</v>
      </c>
      <c r="F156" s="58">
        <f t="shared" si="2"/>
        <v>3.8010000000000002</v>
      </c>
    </row>
    <row r="157" spans="1:6" x14ac:dyDescent="0.25">
      <c r="A157" s="48">
        <v>44694</v>
      </c>
      <c r="B157" s="49" t="s">
        <v>87</v>
      </c>
      <c r="C157" s="50">
        <v>3772</v>
      </c>
      <c r="D157" s="56">
        <v>3786</v>
      </c>
      <c r="E157" s="58">
        <f t="shared" si="2"/>
        <v>3.7719999999999998</v>
      </c>
      <c r="F157" s="58">
        <f t="shared" si="2"/>
        <v>3.786</v>
      </c>
    </row>
    <row r="158" spans="1:6" x14ac:dyDescent="0.25">
      <c r="A158" s="48">
        <v>44697</v>
      </c>
      <c r="B158" s="49" t="s">
        <v>87</v>
      </c>
      <c r="C158" s="50">
        <v>3777</v>
      </c>
      <c r="D158" s="56">
        <v>3787</v>
      </c>
      <c r="E158" s="58">
        <f t="shared" si="2"/>
        <v>3.7770000000000001</v>
      </c>
      <c r="F158" s="58">
        <f t="shared" si="2"/>
        <v>3.7869999999999999</v>
      </c>
    </row>
    <row r="159" spans="1:6" x14ac:dyDescent="0.25">
      <c r="A159" s="48">
        <v>44698</v>
      </c>
      <c r="B159" s="49" t="s">
        <v>87</v>
      </c>
      <c r="C159" s="50">
        <v>3755</v>
      </c>
      <c r="D159" s="56">
        <v>3762</v>
      </c>
      <c r="E159" s="58">
        <f t="shared" si="2"/>
        <v>3.7549999999999999</v>
      </c>
      <c r="F159" s="58">
        <f t="shared" si="2"/>
        <v>3.762</v>
      </c>
    </row>
    <row r="160" spans="1:6" x14ac:dyDescent="0.25">
      <c r="A160" s="48">
        <v>44699</v>
      </c>
      <c r="B160" s="49" t="s">
        <v>87</v>
      </c>
      <c r="C160" s="50">
        <v>3766</v>
      </c>
      <c r="D160" s="56">
        <v>3772</v>
      </c>
      <c r="E160" s="58">
        <f t="shared" si="2"/>
        <v>3.766</v>
      </c>
      <c r="F160" s="58">
        <f t="shared" si="2"/>
        <v>3.7719999999999998</v>
      </c>
    </row>
    <row r="161" spans="1:6" x14ac:dyDescent="0.25">
      <c r="A161" s="48">
        <v>44700</v>
      </c>
      <c r="B161" s="49" t="s">
        <v>87</v>
      </c>
      <c r="C161" s="50">
        <v>3745</v>
      </c>
      <c r="D161" s="56">
        <v>3754</v>
      </c>
      <c r="E161" s="58">
        <f t="shared" si="2"/>
        <v>3.7450000000000001</v>
      </c>
      <c r="F161" s="58">
        <f t="shared" si="2"/>
        <v>3.754</v>
      </c>
    </row>
    <row r="162" spans="1:6" x14ac:dyDescent="0.25">
      <c r="A162" s="48">
        <v>44701</v>
      </c>
      <c r="B162" s="49" t="s">
        <v>87</v>
      </c>
      <c r="C162" s="50">
        <v>3728</v>
      </c>
      <c r="D162" s="56">
        <v>3738</v>
      </c>
      <c r="E162" s="58">
        <f t="shared" si="2"/>
        <v>3.7280000000000002</v>
      </c>
      <c r="F162" s="58">
        <f t="shared" si="2"/>
        <v>3.738</v>
      </c>
    </row>
    <row r="163" spans="1:6" x14ac:dyDescent="0.25">
      <c r="A163" s="48">
        <v>44704</v>
      </c>
      <c r="B163" s="49" t="s">
        <v>87</v>
      </c>
      <c r="C163" s="50">
        <v>3711</v>
      </c>
      <c r="D163" s="56">
        <v>3720</v>
      </c>
      <c r="E163" s="58">
        <f t="shared" si="2"/>
        <v>3.7109999999999999</v>
      </c>
      <c r="F163" s="58">
        <f t="shared" si="2"/>
        <v>3.72</v>
      </c>
    </row>
    <row r="164" spans="1:6" x14ac:dyDescent="0.25">
      <c r="A164" s="48">
        <v>44705</v>
      </c>
      <c r="B164" s="49" t="s">
        <v>87</v>
      </c>
      <c r="C164" s="50">
        <v>3713</v>
      </c>
      <c r="D164" s="56">
        <v>3719</v>
      </c>
      <c r="E164" s="58">
        <f t="shared" si="2"/>
        <v>3.7130000000000001</v>
      </c>
      <c r="F164" s="58">
        <f t="shared" si="2"/>
        <v>3.7189999999999999</v>
      </c>
    </row>
    <row r="165" spans="1:6" x14ac:dyDescent="0.25">
      <c r="A165" s="48">
        <v>44706</v>
      </c>
      <c r="B165" s="49" t="s">
        <v>87</v>
      </c>
      <c r="C165" s="50">
        <v>3685</v>
      </c>
      <c r="D165" s="56">
        <v>3694</v>
      </c>
      <c r="E165" s="58">
        <f t="shared" si="2"/>
        <v>3.6850000000000001</v>
      </c>
      <c r="F165" s="58">
        <f t="shared" si="2"/>
        <v>3.694</v>
      </c>
    </row>
    <row r="166" spans="1:6" x14ac:dyDescent="0.25">
      <c r="A166" s="48">
        <v>44707</v>
      </c>
      <c r="B166" s="49" t="s">
        <v>87</v>
      </c>
      <c r="C166" s="50">
        <v>3657</v>
      </c>
      <c r="D166" s="56">
        <v>3663</v>
      </c>
      <c r="E166" s="58">
        <f t="shared" si="2"/>
        <v>3.657</v>
      </c>
      <c r="F166" s="58">
        <f t="shared" si="2"/>
        <v>3.6629999999999998</v>
      </c>
    </row>
    <row r="167" spans="1:6" x14ac:dyDescent="0.25">
      <c r="A167" s="48">
        <v>44708</v>
      </c>
      <c r="B167" s="49" t="s">
        <v>87</v>
      </c>
      <c r="C167" s="50">
        <v>3663</v>
      </c>
      <c r="D167" s="56">
        <v>3669</v>
      </c>
      <c r="E167" s="58">
        <f t="shared" si="2"/>
        <v>3.6629999999999998</v>
      </c>
      <c r="F167" s="58">
        <f t="shared" si="2"/>
        <v>3.669</v>
      </c>
    </row>
    <row r="168" spans="1:6" x14ac:dyDescent="0.25">
      <c r="A168" s="48">
        <v>44711</v>
      </c>
      <c r="B168" s="49" t="s">
        <v>87</v>
      </c>
      <c r="C168" s="50">
        <v>3665</v>
      </c>
      <c r="D168" s="56">
        <v>3683</v>
      </c>
      <c r="E168" s="58">
        <f t="shared" si="2"/>
        <v>3.665</v>
      </c>
      <c r="F168" s="58">
        <f t="shared" si="2"/>
        <v>3.6829999999999998</v>
      </c>
    </row>
    <row r="169" spans="1:6" x14ac:dyDescent="0.25">
      <c r="A169" s="48">
        <v>44712</v>
      </c>
      <c r="B169" s="49" t="s">
        <v>87</v>
      </c>
      <c r="C169" s="50">
        <v>3695</v>
      </c>
      <c r="D169" s="56">
        <v>3707</v>
      </c>
      <c r="E169" s="58">
        <f t="shared" si="2"/>
        <v>3.6949999999999998</v>
      </c>
      <c r="F169" s="58">
        <f t="shared" si="2"/>
        <v>3.7069999999999999</v>
      </c>
    </row>
    <row r="170" spans="1:6" x14ac:dyDescent="0.25">
      <c r="A170" s="48">
        <v>44713</v>
      </c>
      <c r="B170" s="49" t="s">
        <v>87</v>
      </c>
      <c r="C170" s="50">
        <v>3718</v>
      </c>
      <c r="D170" s="56">
        <v>3726</v>
      </c>
      <c r="E170" s="58">
        <f t="shared" si="2"/>
        <v>3.718</v>
      </c>
      <c r="F170" s="58">
        <f t="shared" si="2"/>
        <v>3.726</v>
      </c>
    </row>
    <row r="171" spans="1:6" x14ac:dyDescent="0.25">
      <c r="A171" s="48">
        <v>44714</v>
      </c>
      <c r="B171" s="49" t="s">
        <v>87</v>
      </c>
      <c r="C171" s="50">
        <v>3707</v>
      </c>
      <c r="D171" s="56">
        <v>3714</v>
      </c>
      <c r="E171" s="58">
        <f t="shared" si="2"/>
        <v>3.7069999999999999</v>
      </c>
      <c r="F171" s="58">
        <f t="shared" si="2"/>
        <v>3.714</v>
      </c>
    </row>
    <row r="172" spans="1:6" x14ac:dyDescent="0.25">
      <c r="A172" s="48">
        <v>44715</v>
      </c>
      <c r="B172" s="49" t="s">
        <v>87</v>
      </c>
      <c r="C172" s="50">
        <v>3702</v>
      </c>
      <c r="D172" s="56">
        <v>3712</v>
      </c>
      <c r="E172" s="58">
        <f t="shared" si="2"/>
        <v>3.702</v>
      </c>
      <c r="F172" s="58">
        <f t="shared" si="2"/>
        <v>3.7120000000000002</v>
      </c>
    </row>
    <row r="173" spans="1:6" x14ac:dyDescent="0.25">
      <c r="A173" s="48">
        <v>44718</v>
      </c>
      <c r="B173" s="49" t="s">
        <v>87</v>
      </c>
      <c r="C173" s="50">
        <v>3724</v>
      </c>
      <c r="D173" s="56">
        <v>3731</v>
      </c>
      <c r="E173" s="58">
        <f t="shared" si="2"/>
        <v>3.7240000000000002</v>
      </c>
      <c r="F173" s="58">
        <f t="shared" si="2"/>
        <v>3.7309999999999999</v>
      </c>
    </row>
    <row r="174" spans="1:6" x14ac:dyDescent="0.25">
      <c r="A174" s="48">
        <v>44719</v>
      </c>
      <c r="B174" s="49" t="s">
        <v>87</v>
      </c>
      <c r="C174" s="50">
        <v>3747</v>
      </c>
      <c r="D174" s="56">
        <v>3755</v>
      </c>
      <c r="E174" s="58">
        <f t="shared" si="2"/>
        <v>3.7469999999999999</v>
      </c>
      <c r="F174" s="58">
        <f t="shared" si="2"/>
        <v>3.7549999999999999</v>
      </c>
    </row>
    <row r="175" spans="1:6" x14ac:dyDescent="0.25">
      <c r="A175" s="48">
        <v>44720</v>
      </c>
      <c r="B175" s="49" t="s">
        <v>87</v>
      </c>
      <c r="C175" s="50">
        <v>3751</v>
      </c>
      <c r="D175" s="56">
        <v>3758</v>
      </c>
      <c r="E175" s="58">
        <f t="shared" si="2"/>
        <v>3.7509999999999999</v>
      </c>
      <c r="F175" s="58">
        <f t="shared" si="2"/>
        <v>3.758</v>
      </c>
    </row>
    <row r="176" spans="1:6" x14ac:dyDescent="0.25">
      <c r="A176" s="48">
        <v>44721</v>
      </c>
      <c r="B176" s="49" t="s">
        <v>87</v>
      </c>
      <c r="C176" s="50">
        <v>3749</v>
      </c>
      <c r="D176" s="56">
        <v>3756</v>
      </c>
      <c r="E176" s="58">
        <f t="shared" si="2"/>
        <v>3.7490000000000001</v>
      </c>
      <c r="F176" s="58">
        <f t="shared" si="2"/>
        <v>3.7559999999999998</v>
      </c>
    </row>
    <row r="177" spans="1:6" x14ac:dyDescent="0.25">
      <c r="A177" s="48">
        <v>44722</v>
      </c>
      <c r="B177" s="49" t="s">
        <v>87</v>
      </c>
      <c r="C177" s="50">
        <v>3765</v>
      </c>
      <c r="D177" s="56">
        <v>3778</v>
      </c>
      <c r="E177" s="58">
        <f t="shared" si="2"/>
        <v>3.7650000000000001</v>
      </c>
      <c r="F177" s="58">
        <f t="shared" si="2"/>
        <v>3.778</v>
      </c>
    </row>
    <row r="178" spans="1:6" x14ac:dyDescent="0.25">
      <c r="A178" s="48">
        <v>44725</v>
      </c>
      <c r="B178" s="49" t="s">
        <v>87</v>
      </c>
      <c r="C178" s="50">
        <v>3779</v>
      </c>
      <c r="D178" s="56">
        <v>3783</v>
      </c>
      <c r="E178" s="58">
        <f t="shared" si="2"/>
        <v>3.7789999999999999</v>
      </c>
      <c r="F178" s="58">
        <f t="shared" si="2"/>
        <v>3.7829999999999999</v>
      </c>
    </row>
    <row r="179" spans="1:6" x14ac:dyDescent="0.25">
      <c r="A179" s="48">
        <v>44726</v>
      </c>
      <c r="B179" s="49" t="s">
        <v>87</v>
      </c>
      <c r="C179" s="50">
        <v>3751</v>
      </c>
      <c r="D179" s="56">
        <v>3759</v>
      </c>
      <c r="E179" s="58">
        <f t="shared" si="2"/>
        <v>3.7509999999999999</v>
      </c>
      <c r="F179" s="58">
        <f t="shared" si="2"/>
        <v>3.7589999999999999</v>
      </c>
    </row>
    <row r="180" spans="1:6" x14ac:dyDescent="0.25">
      <c r="A180" s="48">
        <v>44727</v>
      </c>
      <c r="B180" s="49" t="s">
        <v>87</v>
      </c>
      <c r="C180" s="50">
        <v>3719</v>
      </c>
      <c r="D180" s="56">
        <v>3731</v>
      </c>
      <c r="E180" s="58">
        <f t="shared" si="2"/>
        <v>3.7189999999999999</v>
      </c>
      <c r="F180" s="58">
        <f t="shared" si="2"/>
        <v>3.7309999999999999</v>
      </c>
    </row>
    <row r="181" spans="1:6" x14ac:dyDescent="0.25">
      <c r="A181" s="48">
        <v>44728</v>
      </c>
      <c r="B181" s="49" t="s">
        <v>87</v>
      </c>
      <c r="C181" s="50">
        <v>3718</v>
      </c>
      <c r="D181" s="56">
        <v>3727</v>
      </c>
      <c r="E181" s="58">
        <f t="shared" si="2"/>
        <v>3.718</v>
      </c>
      <c r="F181" s="58">
        <f t="shared" si="2"/>
        <v>3.7269999999999999</v>
      </c>
    </row>
    <row r="182" spans="1:6" x14ac:dyDescent="0.25">
      <c r="A182" s="48">
        <v>44729</v>
      </c>
      <c r="B182" s="49" t="s">
        <v>87</v>
      </c>
      <c r="C182" s="50">
        <v>3715</v>
      </c>
      <c r="D182" s="56">
        <v>3728</v>
      </c>
      <c r="E182" s="58">
        <f t="shared" si="2"/>
        <v>3.7149999999999999</v>
      </c>
      <c r="F182" s="58">
        <f t="shared" si="2"/>
        <v>3.7280000000000002</v>
      </c>
    </row>
    <row r="183" spans="1:6" x14ac:dyDescent="0.25">
      <c r="A183" s="48">
        <v>44732</v>
      </c>
      <c r="B183" s="49" t="s">
        <v>87</v>
      </c>
      <c r="C183" s="50">
        <v>3714</v>
      </c>
      <c r="D183" s="56">
        <v>3729</v>
      </c>
      <c r="E183" s="58">
        <f t="shared" si="2"/>
        <v>3.714</v>
      </c>
      <c r="F183" s="58">
        <f t="shared" si="2"/>
        <v>3.7290000000000001</v>
      </c>
    </row>
    <row r="184" spans="1:6" x14ac:dyDescent="0.25">
      <c r="A184" s="48">
        <v>44733</v>
      </c>
      <c r="B184" s="49" t="s">
        <v>87</v>
      </c>
      <c r="C184" s="50">
        <v>3717</v>
      </c>
      <c r="D184" s="56">
        <v>3724</v>
      </c>
      <c r="E184" s="58">
        <f t="shared" si="2"/>
        <v>3.7170000000000001</v>
      </c>
      <c r="F184" s="58">
        <f t="shared" si="2"/>
        <v>3.7240000000000002</v>
      </c>
    </row>
    <row r="185" spans="1:6" x14ac:dyDescent="0.25">
      <c r="A185" s="48">
        <v>44734</v>
      </c>
      <c r="B185" s="49" t="s">
        <v>87</v>
      </c>
      <c r="C185" s="50">
        <v>3724</v>
      </c>
      <c r="D185" s="56">
        <v>3731</v>
      </c>
      <c r="E185" s="58">
        <f t="shared" si="2"/>
        <v>3.7240000000000002</v>
      </c>
      <c r="F185" s="58">
        <f t="shared" si="2"/>
        <v>3.7309999999999999</v>
      </c>
    </row>
    <row r="186" spans="1:6" x14ac:dyDescent="0.25">
      <c r="A186" s="48">
        <v>44735</v>
      </c>
      <c r="B186" s="49" t="s">
        <v>87</v>
      </c>
      <c r="C186" s="50">
        <v>3747</v>
      </c>
      <c r="D186" s="56">
        <v>3753</v>
      </c>
      <c r="E186" s="58">
        <f t="shared" si="2"/>
        <v>3.7469999999999999</v>
      </c>
      <c r="F186" s="58">
        <f t="shared" si="2"/>
        <v>3.7530000000000001</v>
      </c>
    </row>
    <row r="187" spans="1:6" x14ac:dyDescent="0.25">
      <c r="A187" s="48">
        <v>44736</v>
      </c>
      <c r="B187" s="49" t="s">
        <v>87</v>
      </c>
      <c r="C187" s="50">
        <v>3774</v>
      </c>
      <c r="D187" s="56">
        <v>3782</v>
      </c>
      <c r="E187" s="58">
        <f t="shared" si="2"/>
        <v>3.774</v>
      </c>
      <c r="F187" s="58">
        <f t="shared" si="2"/>
        <v>3.782</v>
      </c>
    </row>
    <row r="188" spans="1:6" x14ac:dyDescent="0.25">
      <c r="A188" s="48">
        <v>44739</v>
      </c>
      <c r="B188" s="49" t="s">
        <v>87</v>
      </c>
      <c r="C188" s="50">
        <v>3783</v>
      </c>
      <c r="D188" s="56">
        <v>3791</v>
      </c>
      <c r="E188" s="58">
        <f t="shared" si="2"/>
        <v>3.7829999999999999</v>
      </c>
      <c r="F188" s="58">
        <f t="shared" si="2"/>
        <v>3.7909999999999999</v>
      </c>
    </row>
    <row r="189" spans="1:6" x14ac:dyDescent="0.25">
      <c r="A189" s="48">
        <v>44740</v>
      </c>
      <c r="B189" s="49" t="s">
        <v>87</v>
      </c>
      <c r="C189" s="50">
        <v>3770</v>
      </c>
      <c r="D189" s="56">
        <v>3788</v>
      </c>
      <c r="E189" s="58">
        <f t="shared" si="2"/>
        <v>3.77</v>
      </c>
      <c r="F189" s="58">
        <f t="shared" si="2"/>
        <v>3.7879999999999998</v>
      </c>
    </row>
    <row r="190" spans="1:6" x14ac:dyDescent="0.25">
      <c r="A190" s="48">
        <v>44742</v>
      </c>
      <c r="B190" s="49" t="s">
        <v>87</v>
      </c>
      <c r="C190" s="50">
        <v>3820</v>
      </c>
      <c r="D190" s="56">
        <v>3830</v>
      </c>
      <c r="E190" s="58">
        <f t="shared" si="2"/>
        <v>3.82</v>
      </c>
      <c r="F190" s="58">
        <f t="shared" si="2"/>
        <v>3.83</v>
      </c>
    </row>
    <row r="191" spans="1:6" x14ac:dyDescent="0.25">
      <c r="A191" s="48">
        <v>44743</v>
      </c>
      <c r="B191" s="49" t="s">
        <v>87</v>
      </c>
      <c r="C191" s="50">
        <v>3843</v>
      </c>
      <c r="D191" s="56">
        <v>3854</v>
      </c>
      <c r="E191" s="58">
        <f t="shared" si="2"/>
        <v>3.843</v>
      </c>
      <c r="F191" s="58">
        <f t="shared" si="2"/>
        <v>3.8540000000000001</v>
      </c>
    </row>
    <row r="192" spans="1:6" x14ac:dyDescent="0.25">
      <c r="A192" s="48">
        <v>44746</v>
      </c>
      <c r="B192" s="49" t="s">
        <v>87</v>
      </c>
      <c r="C192" s="50">
        <v>3827</v>
      </c>
      <c r="D192" s="56">
        <v>3839</v>
      </c>
      <c r="E192" s="58">
        <f t="shared" si="2"/>
        <v>3.827</v>
      </c>
      <c r="F192" s="58">
        <f t="shared" si="2"/>
        <v>3.839</v>
      </c>
    </row>
    <row r="193" spans="1:6" x14ac:dyDescent="0.25">
      <c r="A193" s="48">
        <v>44747</v>
      </c>
      <c r="B193" s="49" t="s">
        <v>87</v>
      </c>
      <c r="C193" s="50">
        <v>3856</v>
      </c>
      <c r="D193" s="56">
        <v>3862</v>
      </c>
      <c r="E193" s="58">
        <f t="shared" si="2"/>
        <v>3.8559999999999999</v>
      </c>
      <c r="F193" s="58">
        <f t="shared" si="2"/>
        <v>3.8620000000000001</v>
      </c>
    </row>
    <row r="194" spans="1:6" x14ac:dyDescent="0.25">
      <c r="A194" s="48">
        <v>44748</v>
      </c>
      <c r="B194" s="49" t="s">
        <v>87</v>
      </c>
      <c r="C194" s="50">
        <v>3878</v>
      </c>
      <c r="D194" s="56">
        <v>3888</v>
      </c>
      <c r="E194" s="58">
        <f t="shared" si="2"/>
        <v>3.8780000000000001</v>
      </c>
      <c r="F194" s="58">
        <f t="shared" si="2"/>
        <v>3.8879999999999999</v>
      </c>
    </row>
    <row r="195" spans="1:6" x14ac:dyDescent="0.25">
      <c r="A195" s="48">
        <v>44749</v>
      </c>
      <c r="B195" s="49" t="s">
        <v>87</v>
      </c>
      <c r="C195" s="50">
        <v>3881</v>
      </c>
      <c r="D195" s="56">
        <v>3888</v>
      </c>
      <c r="E195" s="58">
        <f t="shared" ref="E195:F253" si="3">C195/1000</f>
        <v>3.8809999999999998</v>
      </c>
      <c r="F195" s="58">
        <f t="shared" si="3"/>
        <v>3.8879999999999999</v>
      </c>
    </row>
    <row r="196" spans="1:6" x14ac:dyDescent="0.25">
      <c r="A196" s="48">
        <v>44750</v>
      </c>
      <c r="B196" s="49" t="s">
        <v>87</v>
      </c>
      <c r="C196" s="50">
        <v>3897</v>
      </c>
      <c r="D196" s="56">
        <v>3905</v>
      </c>
      <c r="E196" s="58">
        <f t="shared" si="3"/>
        <v>3.8969999999999998</v>
      </c>
      <c r="F196" s="58">
        <f t="shared" si="3"/>
        <v>3.9049999999999998</v>
      </c>
    </row>
    <row r="197" spans="1:6" x14ac:dyDescent="0.25">
      <c r="A197" s="48">
        <v>44753</v>
      </c>
      <c r="B197" s="49" t="s">
        <v>87</v>
      </c>
      <c r="C197" s="50">
        <v>3928</v>
      </c>
      <c r="D197" s="56">
        <v>3939</v>
      </c>
      <c r="E197" s="58">
        <f t="shared" si="3"/>
        <v>3.9279999999999999</v>
      </c>
      <c r="F197" s="58">
        <f t="shared" si="3"/>
        <v>3.9390000000000001</v>
      </c>
    </row>
    <row r="198" spans="1:6" x14ac:dyDescent="0.25">
      <c r="A198" s="48">
        <v>44754</v>
      </c>
      <c r="B198" s="49" t="s">
        <v>87</v>
      </c>
      <c r="C198" s="50">
        <v>3965</v>
      </c>
      <c r="D198" s="56">
        <v>3972</v>
      </c>
      <c r="E198" s="58">
        <f t="shared" si="3"/>
        <v>3.9649999999999999</v>
      </c>
      <c r="F198" s="58">
        <f t="shared" si="3"/>
        <v>3.972</v>
      </c>
    </row>
    <row r="199" spans="1:6" x14ac:dyDescent="0.25">
      <c r="A199" s="48">
        <v>44755</v>
      </c>
      <c r="B199" s="49" t="s">
        <v>87</v>
      </c>
      <c r="C199" s="50">
        <v>3959</v>
      </c>
      <c r="D199" s="56">
        <v>3968</v>
      </c>
      <c r="E199" s="58">
        <f t="shared" si="3"/>
        <v>3.9590000000000001</v>
      </c>
      <c r="F199" s="58">
        <f t="shared" si="3"/>
        <v>3.968</v>
      </c>
    </row>
    <row r="200" spans="1:6" x14ac:dyDescent="0.25">
      <c r="A200" s="48">
        <v>44756</v>
      </c>
      <c r="B200" s="49" t="s">
        <v>87</v>
      </c>
      <c r="C200" s="50">
        <v>3951</v>
      </c>
      <c r="D200" s="56">
        <v>3958</v>
      </c>
      <c r="E200" s="58">
        <f t="shared" si="3"/>
        <v>3.9510000000000001</v>
      </c>
      <c r="F200" s="58">
        <f t="shared" si="3"/>
        <v>3.9580000000000002</v>
      </c>
    </row>
    <row r="201" spans="1:6" x14ac:dyDescent="0.25">
      <c r="A201" s="48">
        <v>44757</v>
      </c>
      <c r="B201" s="49" t="s">
        <v>87</v>
      </c>
      <c r="C201" s="50">
        <v>3884</v>
      </c>
      <c r="D201" s="56">
        <v>3906</v>
      </c>
      <c r="E201" s="58">
        <f t="shared" si="3"/>
        <v>3.8839999999999999</v>
      </c>
      <c r="F201" s="58">
        <f t="shared" si="3"/>
        <v>3.9060000000000001</v>
      </c>
    </row>
    <row r="202" spans="1:6" x14ac:dyDescent="0.25">
      <c r="A202" s="48">
        <v>44760</v>
      </c>
      <c r="B202" s="49" t="s">
        <v>87</v>
      </c>
      <c r="C202" s="50">
        <v>3884</v>
      </c>
      <c r="D202" s="56">
        <v>3892</v>
      </c>
      <c r="E202" s="58">
        <f t="shared" si="3"/>
        <v>3.8839999999999999</v>
      </c>
      <c r="F202" s="58">
        <f t="shared" si="3"/>
        <v>3.8919999999999999</v>
      </c>
    </row>
    <row r="203" spans="1:6" x14ac:dyDescent="0.25">
      <c r="A203" s="48">
        <v>44761</v>
      </c>
      <c r="B203" s="49" t="s">
        <v>87</v>
      </c>
      <c r="C203" s="50">
        <v>3866</v>
      </c>
      <c r="D203" s="56">
        <v>3878</v>
      </c>
      <c r="E203" s="58">
        <f t="shared" si="3"/>
        <v>3.8660000000000001</v>
      </c>
      <c r="F203" s="58">
        <f t="shared" si="3"/>
        <v>3.8780000000000001</v>
      </c>
    </row>
    <row r="204" spans="1:6" x14ac:dyDescent="0.25">
      <c r="A204" s="48">
        <v>44762</v>
      </c>
      <c r="B204" s="49" t="s">
        <v>87</v>
      </c>
      <c r="C204" s="50">
        <v>3878</v>
      </c>
      <c r="D204" s="56">
        <v>3888</v>
      </c>
      <c r="E204" s="58">
        <f t="shared" si="3"/>
        <v>3.8780000000000001</v>
      </c>
      <c r="F204" s="58">
        <f t="shared" si="3"/>
        <v>3.8879999999999999</v>
      </c>
    </row>
    <row r="205" spans="1:6" x14ac:dyDescent="0.25">
      <c r="A205" s="48">
        <v>44763</v>
      </c>
      <c r="B205" s="49" t="s">
        <v>87</v>
      </c>
      <c r="C205" s="50">
        <v>3905</v>
      </c>
      <c r="D205" s="56">
        <v>3914</v>
      </c>
      <c r="E205" s="58">
        <f t="shared" si="3"/>
        <v>3.9049999999999998</v>
      </c>
      <c r="F205" s="58">
        <f t="shared" si="3"/>
        <v>3.9140000000000001</v>
      </c>
    </row>
    <row r="206" spans="1:6" x14ac:dyDescent="0.25">
      <c r="A206" s="48">
        <v>44764</v>
      </c>
      <c r="B206" s="49" t="s">
        <v>87</v>
      </c>
      <c r="C206" s="50">
        <v>3910</v>
      </c>
      <c r="D206" s="56">
        <v>3918</v>
      </c>
      <c r="E206" s="58">
        <f t="shared" si="3"/>
        <v>3.91</v>
      </c>
      <c r="F206" s="58">
        <f t="shared" si="3"/>
        <v>3.9180000000000001</v>
      </c>
    </row>
    <row r="207" spans="1:6" x14ac:dyDescent="0.25">
      <c r="A207" s="48">
        <v>44767</v>
      </c>
      <c r="B207" s="49" t="s">
        <v>87</v>
      </c>
      <c r="C207" s="50">
        <v>3910</v>
      </c>
      <c r="D207" s="56">
        <v>3919</v>
      </c>
      <c r="E207" s="58">
        <f t="shared" si="3"/>
        <v>3.91</v>
      </c>
      <c r="F207" s="58">
        <f t="shared" si="3"/>
        <v>3.919</v>
      </c>
    </row>
    <row r="208" spans="1:6" x14ac:dyDescent="0.25">
      <c r="A208" s="48">
        <v>44768</v>
      </c>
      <c r="B208" s="49" t="s">
        <v>87</v>
      </c>
      <c r="C208" s="50">
        <v>3911</v>
      </c>
      <c r="D208" s="56">
        <v>3921</v>
      </c>
      <c r="E208" s="58">
        <f t="shared" si="3"/>
        <v>3.911</v>
      </c>
      <c r="F208" s="58">
        <f t="shared" si="3"/>
        <v>3.9209999999999998</v>
      </c>
    </row>
    <row r="209" spans="1:6" x14ac:dyDescent="0.25">
      <c r="A209" s="48">
        <v>44769</v>
      </c>
      <c r="B209" s="49" t="s">
        <v>87</v>
      </c>
      <c r="C209" s="50">
        <v>3916</v>
      </c>
      <c r="D209" s="56">
        <v>3925</v>
      </c>
      <c r="E209" s="58">
        <f t="shared" si="3"/>
        <v>3.9159999999999999</v>
      </c>
      <c r="F209" s="58">
        <f t="shared" si="3"/>
        <v>3.9249999999999998</v>
      </c>
    </row>
    <row r="210" spans="1:6" x14ac:dyDescent="0.25">
      <c r="A210" s="48">
        <v>44774</v>
      </c>
      <c r="B210" s="49" t="s">
        <v>87</v>
      </c>
      <c r="C210" s="50">
        <v>3885</v>
      </c>
      <c r="D210" s="56">
        <v>3897</v>
      </c>
      <c r="E210" s="58">
        <f t="shared" si="3"/>
        <v>3.8849999999999998</v>
      </c>
      <c r="F210" s="58">
        <f t="shared" si="3"/>
        <v>3.8969999999999998</v>
      </c>
    </row>
    <row r="211" spans="1:6" x14ac:dyDescent="0.25">
      <c r="A211" s="48">
        <v>44775</v>
      </c>
      <c r="B211" s="49" t="s">
        <v>87</v>
      </c>
      <c r="C211" s="50">
        <v>3914</v>
      </c>
      <c r="D211" s="56">
        <v>3919</v>
      </c>
      <c r="E211" s="58">
        <f t="shared" si="3"/>
        <v>3.9140000000000001</v>
      </c>
      <c r="F211" s="58">
        <f t="shared" si="3"/>
        <v>3.919</v>
      </c>
    </row>
    <row r="212" spans="1:6" x14ac:dyDescent="0.25">
      <c r="A212" s="48">
        <v>44776</v>
      </c>
      <c r="B212" s="49" t="s">
        <v>87</v>
      </c>
      <c r="C212" s="50">
        <v>3914</v>
      </c>
      <c r="D212" s="56">
        <v>3920</v>
      </c>
      <c r="E212" s="58">
        <f t="shared" si="3"/>
        <v>3.9140000000000001</v>
      </c>
      <c r="F212" s="58">
        <f t="shared" si="3"/>
        <v>3.92</v>
      </c>
    </row>
    <row r="213" spans="1:6" x14ac:dyDescent="0.25">
      <c r="A213" s="48">
        <v>44777</v>
      </c>
      <c r="B213" s="49" t="s">
        <v>87</v>
      </c>
      <c r="C213" s="50">
        <v>3885</v>
      </c>
      <c r="D213" s="56">
        <v>3897</v>
      </c>
      <c r="E213" s="58">
        <f t="shared" si="3"/>
        <v>3.8849999999999998</v>
      </c>
      <c r="F213" s="58">
        <f t="shared" si="3"/>
        <v>3.8969999999999998</v>
      </c>
    </row>
    <row r="214" spans="1:6" x14ac:dyDescent="0.25">
      <c r="A214" s="48">
        <v>44778</v>
      </c>
      <c r="B214" s="49" t="s">
        <v>87</v>
      </c>
      <c r="C214" s="50">
        <v>3896</v>
      </c>
      <c r="D214" s="56">
        <v>3905</v>
      </c>
      <c r="E214" s="58">
        <f t="shared" si="3"/>
        <v>3.8959999999999999</v>
      </c>
      <c r="F214" s="58">
        <f t="shared" si="3"/>
        <v>3.9049999999999998</v>
      </c>
    </row>
    <row r="215" spans="1:6" x14ac:dyDescent="0.25">
      <c r="A215" s="48">
        <v>44781</v>
      </c>
      <c r="B215" s="49" t="s">
        <v>87</v>
      </c>
      <c r="C215" s="50">
        <v>3911</v>
      </c>
      <c r="D215" s="56">
        <v>3916</v>
      </c>
      <c r="E215" s="58">
        <f t="shared" si="3"/>
        <v>3.911</v>
      </c>
      <c r="F215" s="58">
        <f t="shared" si="3"/>
        <v>3.9159999999999999</v>
      </c>
    </row>
    <row r="216" spans="1:6" x14ac:dyDescent="0.25">
      <c r="A216" s="48">
        <v>44782</v>
      </c>
      <c r="B216" s="49" t="s">
        <v>87</v>
      </c>
      <c r="C216" s="50">
        <v>3927</v>
      </c>
      <c r="D216" s="56">
        <v>3932</v>
      </c>
      <c r="E216" s="58">
        <f t="shared" si="3"/>
        <v>3.927</v>
      </c>
      <c r="F216" s="58">
        <f t="shared" si="3"/>
        <v>3.9319999999999999</v>
      </c>
    </row>
    <row r="217" spans="1:6" x14ac:dyDescent="0.25">
      <c r="A217" s="48">
        <v>44783</v>
      </c>
      <c r="B217" s="49" t="s">
        <v>87</v>
      </c>
      <c r="C217" s="50">
        <v>3893</v>
      </c>
      <c r="D217" s="56">
        <v>3899</v>
      </c>
      <c r="E217" s="58">
        <f t="shared" si="3"/>
        <v>3.8929999999999998</v>
      </c>
      <c r="F217" s="58">
        <f t="shared" si="3"/>
        <v>3.899</v>
      </c>
    </row>
    <row r="218" spans="1:6" x14ac:dyDescent="0.25">
      <c r="A218" s="48">
        <v>44784</v>
      </c>
      <c r="B218" s="49" t="s">
        <v>87</v>
      </c>
      <c r="C218" s="50">
        <v>3882</v>
      </c>
      <c r="D218" s="56">
        <v>3888</v>
      </c>
      <c r="E218" s="58">
        <f t="shared" si="3"/>
        <v>3.8820000000000001</v>
      </c>
      <c r="F218" s="58">
        <f t="shared" si="3"/>
        <v>3.8879999999999999</v>
      </c>
    </row>
    <row r="219" spans="1:6" x14ac:dyDescent="0.25">
      <c r="A219" s="48">
        <v>44785</v>
      </c>
      <c r="B219" s="49" t="s">
        <v>87</v>
      </c>
      <c r="C219" s="50">
        <v>3859</v>
      </c>
      <c r="D219" s="56">
        <v>3865</v>
      </c>
      <c r="E219" s="58">
        <f t="shared" si="3"/>
        <v>3.859</v>
      </c>
      <c r="F219" s="58">
        <f t="shared" si="3"/>
        <v>3.8650000000000002</v>
      </c>
    </row>
    <row r="220" spans="1:6" x14ac:dyDescent="0.25">
      <c r="A220" s="48">
        <v>44788</v>
      </c>
      <c r="B220" s="49" t="s">
        <v>87</v>
      </c>
      <c r="C220" s="50">
        <v>3849</v>
      </c>
      <c r="D220" s="56">
        <v>3856</v>
      </c>
      <c r="E220" s="58">
        <f t="shared" si="3"/>
        <v>3.8490000000000002</v>
      </c>
      <c r="F220" s="58">
        <f t="shared" si="3"/>
        <v>3.8559999999999999</v>
      </c>
    </row>
    <row r="221" spans="1:6" x14ac:dyDescent="0.25">
      <c r="A221" s="48">
        <v>44789</v>
      </c>
      <c r="B221" s="49" t="s">
        <v>87</v>
      </c>
      <c r="C221" s="50">
        <v>3858</v>
      </c>
      <c r="D221" s="56">
        <v>3860</v>
      </c>
      <c r="E221" s="58">
        <f t="shared" si="3"/>
        <v>3.8580000000000001</v>
      </c>
      <c r="F221" s="58">
        <f t="shared" si="3"/>
        <v>3.86</v>
      </c>
    </row>
    <row r="222" spans="1:6" x14ac:dyDescent="0.25">
      <c r="A222" s="48">
        <v>44790</v>
      </c>
      <c r="B222" s="49" t="s">
        <v>87</v>
      </c>
      <c r="C222" s="50">
        <v>3838</v>
      </c>
      <c r="D222" s="56">
        <v>3847</v>
      </c>
      <c r="E222" s="58">
        <f t="shared" si="3"/>
        <v>3.8380000000000001</v>
      </c>
      <c r="F222" s="58">
        <f t="shared" si="3"/>
        <v>3.847</v>
      </c>
    </row>
    <row r="223" spans="1:6" x14ac:dyDescent="0.25">
      <c r="A223" s="48">
        <v>44791</v>
      </c>
      <c r="B223" s="49" t="s">
        <v>87</v>
      </c>
      <c r="C223" s="50">
        <v>3838</v>
      </c>
      <c r="D223" s="56">
        <v>3847</v>
      </c>
      <c r="E223" s="58">
        <f t="shared" si="3"/>
        <v>3.8380000000000001</v>
      </c>
      <c r="F223" s="58">
        <f t="shared" si="3"/>
        <v>3.847</v>
      </c>
    </row>
    <row r="224" spans="1:6" x14ac:dyDescent="0.25">
      <c r="A224" s="48">
        <v>44792</v>
      </c>
      <c r="B224" s="49" t="s">
        <v>87</v>
      </c>
      <c r="C224" s="50">
        <v>3850</v>
      </c>
      <c r="D224" s="56">
        <v>3857</v>
      </c>
      <c r="E224" s="58">
        <f t="shared" si="3"/>
        <v>3.85</v>
      </c>
      <c r="F224" s="58">
        <f t="shared" si="3"/>
        <v>3.8570000000000002</v>
      </c>
    </row>
    <row r="225" spans="1:6" x14ac:dyDescent="0.25">
      <c r="A225" s="48">
        <v>44795</v>
      </c>
      <c r="B225" s="49" t="s">
        <v>87</v>
      </c>
      <c r="C225" s="50">
        <v>3869</v>
      </c>
      <c r="D225" s="56">
        <v>3880</v>
      </c>
      <c r="E225" s="58">
        <f t="shared" si="3"/>
        <v>3.8690000000000002</v>
      </c>
      <c r="F225" s="58">
        <f t="shared" si="3"/>
        <v>3.88</v>
      </c>
    </row>
    <row r="226" spans="1:6" x14ac:dyDescent="0.25">
      <c r="A226" s="48">
        <v>44796</v>
      </c>
      <c r="B226" s="49" t="s">
        <v>87</v>
      </c>
      <c r="C226" s="50">
        <v>3856</v>
      </c>
      <c r="D226" s="56">
        <v>3864</v>
      </c>
      <c r="E226" s="58">
        <f t="shared" si="3"/>
        <v>3.8559999999999999</v>
      </c>
      <c r="F226" s="58">
        <f t="shared" si="3"/>
        <v>3.8639999999999999</v>
      </c>
    </row>
    <row r="227" spans="1:6" x14ac:dyDescent="0.25">
      <c r="A227" s="48">
        <v>44797</v>
      </c>
      <c r="B227" s="49" t="s">
        <v>87</v>
      </c>
      <c r="C227" s="50">
        <v>3861</v>
      </c>
      <c r="D227" s="56">
        <v>3867</v>
      </c>
      <c r="E227" s="58">
        <f t="shared" si="3"/>
        <v>3.8610000000000002</v>
      </c>
      <c r="F227" s="58">
        <f t="shared" si="3"/>
        <v>3.867</v>
      </c>
    </row>
    <row r="228" spans="1:6" x14ac:dyDescent="0.25">
      <c r="A228" s="48">
        <v>44798</v>
      </c>
      <c r="B228" s="49" t="s">
        <v>87</v>
      </c>
      <c r="C228" s="50">
        <v>3849</v>
      </c>
      <c r="D228" s="56">
        <v>3861</v>
      </c>
      <c r="E228" s="58">
        <f t="shared" si="3"/>
        <v>3.8490000000000002</v>
      </c>
      <c r="F228" s="58">
        <f t="shared" si="3"/>
        <v>3.8610000000000002</v>
      </c>
    </row>
    <row r="229" spans="1:6" x14ac:dyDescent="0.25">
      <c r="A229" s="48">
        <v>44799</v>
      </c>
      <c r="B229" s="49" t="s">
        <v>87</v>
      </c>
      <c r="C229" s="50">
        <v>3836</v>
      </c>
      <c r="D229" s="56">
        <v>3847</v>
      </c>
      <c r="E229" s="58">
        <f t="shared" si="3"/>
        <v>3.8359999999999999</v>
      </c>
      <c r="F229" s="58">
        <f t="shared" si="3"/>
        <v>3.847</v>
      </c>
    </row>
    <row r="230" spans="1:6" x14ac:dyDescent="0.25">
      <c r="A230" s="48">
        <v>44802</v>
      </c>
      <c r="B230" s="49" t="s">
        <v>87</v>
      </c>
      <c r="C230" s="50">
        <v>3829</v>
      </c>
      <c r="D230" s="56">
        <v>3838</v>
      </c>
      <c r="E230" s="58">
        <f t="shared" si="3"/>
        <v>3.8290000000000002</v>
      </c>
      <c r="F230" s="58">
        <f t="shared" si="3"/>
        <v>3.8380000000000001</v>
      </c>
    </row>
    <row r="231" spans="1:6" x14ac:dyDescent="0.25">
      <c r="A231" s="48">
        <v>44804</v>
      </c>
      <c r="B231" s="49" t="s">
        <v>87</v>
      </c>
      <c r="C231" s="50">
        <v>3839</v>
      </c>
      <c r="D231" s="56">
        <v>3847</v>
      </c>
      <c r="E231" s="58">
        <f t="shared" si="3"/>
        <v>3.839</v>
      </c>
      <c r="F231" s="58">
        <f t="shared" si="3"/>
        <v>3.847</v>
      </c>
    </row>
    <row r="232" spans="1:6" x14ac:dyDescent="0.25">
      <c r="A232" s="48">
        <v>44805</v>
      </c>
      <c r="B232" s="49" t="s">
        <v>87</v>
      </c>
      <c r="C232" s="50">
        <v>3859</v>
      </c>
      <c r="D232" s="56">
        <v>3865</v>
      </c>
      <c r="E232" s="58">
        <f t="shared" si="3"/>
        <v>3.859</v>
      </c>
      <c r="F232" s="58">
        <f t="shared" si="3"/>
        <v>3.8650000000000002</v>
      </c>
    </row>
    <row r="233" spans="1:6" x14ac:dyDescent="0.25">
      <c r="A233" s="48">
        <v>44806</v>
      </c>
      <c r="B233" s="49" t="s">
        <v>87</v>
      </c>
      <c r="C233" s="50">
        <v>3866</v>
      </c>
      <c r="D233" s="56">
        <v>3876</v>
      </c>
      <c r="E233" s="58">
        <f t="shared" si="3"/>
        <v>3.8660000000000001</v>
      </c>
      <c r="F233" s="58">
        <f t="shared" si="3"/>
        <v>3.8759999999999999</v>
      </c>
    </row>
    <row r="234" spans="1:6" x14ac:dyDescent="0.25">
      <c r="A234" s="48">
        <v>44809</v>
      </c>
      <c r="B234" s="49" t="s">
        <v>87</v>
      </c>
      <c r="C234" s="50">
        <v>3873</v>
      </c>
      <c r="D234" s="56">
        <v>3885</v>
      </c>
      <c r="E234" s="58">
        <f t="shared" si="3"/>
        <v>3.8730000000000002</v>
      </c>
      <c r="F234" s="58">
        <f t="shared" si="3"/>
        <v>3.8849999999999998</v>
      </c>
    </row>
    <row r="235" spans="1:6" x14ac:dyDescent="0.25">
      <c r="A235" s="48">
        <v>44810</v>
      </c>
      <c r="B235" s="49" t="s">
        <v>87</v>
      </c>
      <c r="C235" s="50">
        <v>3892</v>
      </c>
      <c r="D235" s="56">
        <v>3897</v>
      </c>
      <c r="E235" s="58">
        <f t="shared" si="3"/>
        <v>3.8919999999999999</v>
      </c>
      <c r="F235" s="58">
        <f t="shared" si="3"/>
        <v>3.8969999999999998</v>
      </c>
    </row>
    <row r="236" spans="1:6" x14ac:dyDescent="0.25">
      <c r="A236" s="48">
        <v>44811</v>
      </c>
      <c r="B236" s="49" t="s">
        <v>87</v>
      </c>
      <c r="C236" s="50">
        <v>3891</v>
      </c>
      <c r="D236" s="56">
        <v>3896</v>
      </c>
      <c r="E236" s="58">
        <f t="shared" si="3"/>
        <v>3.891</v>
      </c>
      <c r="F236" s="58">
        <f t="shared" si="3"/>
        <v>3.8959999999999999</v>
      </c>
    </row>
    <row r="237" spans="1:6" x14ac:dyDescent="0.25">
      <c r="A237" s="48">
        <v>44812</v>
      </c>
      <c r="B237" s="49" t="s">
        <v>87</v>
      </c>
      <c r="C237" s="50">
        <v>3872</v>
      </c>
      <c r="D237" s="56">
        <v>3881</v>
      </c>
      <c r="E237" s="58">
        <f t="shared" si="3"/>
        <v>3.8719999999999999</v>
      </c>
      <c r="F237" s="58">
        <f t="shared" si="3"/>
        <v>3.8809999999999998</v>
      </c>
    </row>
    <row r="238" spans="1:6" x14ac:dyDescent="0.25">
      <c r="A238" s="48">
        <v>44813</v>
      </c>
      <c r="B238" s="49" t="s">
        <v>87</v>
      </c>
      <c r="C238" s="50">
        <v>3876</v>
      </c>
      <c r="D238" s="56">
        <v>3883</v>
      </c>
      <c r="E238" s="58">
        <f t="shared" si="3"/>
        <v>3.8759999999999999</v>
      </c>
      <c r="F238" s="58">
        <f t="shared" si="3"/>
        <v>3.883</v>
      </c>
    </row>
    <row r="239" spans="1:6" x14ac:dyDescent="0.25">
      <c r="A239" s="48">
        <v>44816</v>
      </c>
      <c r="B239" s="49" t="s">
        <v>87</v>
      </c>
      <c r="C239" s="50">
        <v>3852</v>
      </c>
      <c r="D239" s="56">
        <v>3859</v>
      </c>
      <c r="E239" s="58">
        <f t="shared" si="3"/>
        <v>3.8519999999999999</v>
      </c>
      <c r="F239" s="58">
        <f t="shared" si="3"/>
        <v>3.859</v>
      </c>
    </row>
    <row r="240" spans="1:6" x14ac:dyDescent="0.25">
      <c r="A240" s="48">
        <v>44817</v>
      </c>
      <c r="B240" s="49" t="s">
        <v>87</v>
      </c>
      <c r="C240" s="50">
        <v>3858</v>
      </c>
      <c r="D240" s="56">
        <v>3862</v>
      </c>
      <c r="E240" s="58">
        <f t="shared" si="3"/>
        <v>3.8580000000000001</v>
      </c>
      <c r="F240" s="58">
        <f t="shared" si="3"/>
        <v>3.8620000000000001</v>
      </c>
    </row>
    <row r="241" spans="1:6" x14ac:dyDescent="0.25">
      <c r="A241" s="48">
        <v>44818</v>
      </c>
      <c r="B241" s="49" t="s">
        <v>87</v>
      </c>
      <c r="C241" s="50">
        <v>3870</v>
      </c>
      <c r="D241" s="56">
        <v>3875</v>
      </c>
      <c r="E241" s="58">
        <f t="shared" si="3"/>
        <v>3.87</v>
      </c>
      <c r="F241" s="58">
        <f t="shared" si="3"/>
        <v>3.875</v>
      </c>
    </row>
    <row r="242" spans="1:6" x14ac:dyDescent="0.25">
      <c r="A242" s="48">
        <v>44819</v>
      </c>
      <c r="B242" s="49" t="s">
        <v>87</v>
      </c>
      <c r="C242" s="50">
        <v>3883</v>
      </c>
      <c r="D242" s="56">
        <v>3892</v>
      </c>
      <c r="E242" s="58">
        <f t="shared" si="3"/>
        <v>3.883</v>
      </c>
      <c r="F242" s="58">
        <f t="shared" si="3"/>
        <v>3.8919999999999999</v>
      </c>
    </row>
    <row r="243" spans="1:6" x14ac:dyDescent="0.25">
      <c r="A243" s="48">
        <v>44820</v>
      </c>
      <c r="B243" s="49" t="s">
        <v>87</v>
      </c>
      <c r="C243" s="50">
        <v>3875</v>
      </c>
      <c r="D243" s="56">
        <v>3883</v>
      </c>
      <c r="E243" s="58">
        <f t="shared" si="3"/>
        <v>3.875</v>
      </c>
      <c r="F243" s="58">
        <f t="shared" si="3"/>
        <v>3.883</v>
      </c>
    </row>
    <row r="244" spans="1:6" x14ac:dyDescent="0.25">
      <c r="A244" s="48">
        <v>44823</v>
      </c>
      <c r="B244" s="49" t="s">
        <v>87</v>
      </c>
      <c r="C244" s="50">
        <v>3862</v>
      </c>
      <c r="D244" s="56">
        <v>3871</v>
      </c>
      <c r="E244" s="58">
        <f t="shared" si="3"/>
        <v>3.8620000000000001</v>
      </c>
      <c r="F244" s="58">
        <f t="shared" si="3"/>
        <v>3.871</v>
      </c>
    </row>
    <row r="245" spans="1:6" x14ac:dyDescent="0.25">
      <c r="A245" s="48">
        <v>44824</v>
      </c>
      <c r="B245" s="49" t="s">
        <v>87</v>
      </c>
      <c r="C245" s="50">
        <v>3877</v>
      </c>
      <c r="D245" s="56">
        <v>3883</v>
      </c>
      <c r="E245" s="58">
        <f t="shared" si="3"/>
        <v>3.8769999999999998</v>
      </c>
      <c r="F245" s="58">
        <f t="shared" si="3"/>
        <v>3.883</v>
      </c>
    </row>
    <row r="246" spans="1:6" x14ac:dyDescent="0.25">
      <c r="A246" s="48">
        <v>44825</v>
      </c>
      <c r="B246" s="49" t="s">
        <v>87</v>
      </c>
      <c r="C246" s="50">
        <v>3894</v>
      </c>
      <c r="D246" s="56">
        <v>3903</v>
      </c>
      <c r="E246" s="58">
        <f t="shared" si="3"/>
        <v>3.8940000000000001</v>
      </c>
      <c r="F246" s="58">
        <f t="shared" si="3"/>
        <v>3.903</v>
      </c>
    </row>
    <row r="247" spans="1:6" x14ac:dyDescent="0.25">
      <c r="A247" s="48">
        <v>44826</v>
      </c>
      <c r="B247" s="49" t="s">
        <v>87</v>
      </c>
      <c r="C247" s="50">
        <v>3903</v>
      </c>
      <c r="D247" s="56">
        <v>3913</v>
      </c>
      <c r="E247" s="58">
        <f t="shared" si="3"/>
        <v>3.903</v>
      </c>
      <c r="F247" s="58">
        <f t="shared" si="3"/>
        <v>3.9129999999999998</v>
      </c>
    </row>
    <row r="248" spans="1:6" x14ac:dyDescent="0.25">
      <c r="A248" s="48">
        <v>44827</v>
      </c>
      <c r="B248" s="49" t="s">
        <v>87</v>
      </c>
      <c r="C248" s="50">
        <v>3906</v>
      </c>
      <c r="D248" s="56">
        <v>3911</v>
      </c>
      <c r="E248" s="58">
        <f t="shared" si="3"/>
        <v>3.9060000000000001</v>
      </c>
      <c r="F248" s="58">
        <f t="shared" si="3"/>
        <v>3.911</v>
      </c>
    </row>
    <row r="249" spans="1:6" x14ac:dyDescent="0.25">
      <c r="A249" s="48">
        <v>44830</v>
      </c>
      <c r="B249" s="49" t="s">
        <v>87</v>
      </c>
      <c r="C249" s="50">
        <v>3928</v>
      </c>
      <c r="D249" s="56">
        <v>3938</v>
      </c>
      <c r="E249" s="58">
        <f t="shared" si="3"/>
        <v>3.9279999999999999</v>
      </c>
      <c r="F249" s="58">
        <f t="shared" si="3"/>
        <v>3.9380000000000002</v>
      </c>
    </row>
    <row r="250" spans="1:6" x14ac:dyDescent="0.25">
      <c r="A250" s="48">
        <v>44831</v>
      </c>
      <c r="B250" s="49" t="s">
        <v>87</v>
      </c>
      <c r="C250" s="50">
        <v>3943</v>
      </c>
      <c r="D250" s="56">
        <v>3949</v>
      </c>
      <c r="E250" s="58">
        <f t="shared" si="3"/>
        <v>3.9430000000000001</v>
      </c>
      <c r="F250" s="58">
        <f t="shared" si="3"/>
        <v>3.9489999999999998</v>
      </c>
    </row>
    <row r="251" spans="1:6" x14ac:dyDescent="0.25">
      <c r="A251" s="48">
        <v>44832</v>
      </c>
      <c r="B251" s="49" t="s">
        <v>87</v>
      </c>
      <c r="C251" s="50">
        <v>3947</v>
      </c>
      <c r="D251" s="56">
        <v>3952</v>
      </c>
      <c r="E251" s="58">
        <f t="shared" si="3"/>
        <v>3.9470000000000001</v>
      </c>
      <c r="F251" s="58">
        <f t="shared" si="3"/>
        <v>3.952</v>
      </c>
    </row>
    <row r="252" spans="1:6" x14ac:dyDescent="0.25">
      <c r="A252" s="48">
        <v>44833</v>
      </c>
      <c r="B252" s="49" t="s">
        <v>87</v>
      </c>
      <c r="C252" s="50">
        <v>3965</v>
      </c>
      <c r="D252" s="56">
        <v>3971</v>
      </c>
      <c r="E252" s="58">
        <f t="shared" si="3"/>
        <v>3.9649999999999999</v>
      </c>
      <c r="F252" s="58">
        <f t="shared" si="3"/>
        <v>3.9710000000000001</v>
      </c>
    </row>
    <row r="253" spans="1:6" x14ac:dyDescent="0.25">
      <c r="A253" s="48">
        <v>44834</v>
      </c>
      <c r="B253" s="49" t="s">
        <v>87</v>
      </c>
      <c r="C253" s="50">
        <v>3978</v>
      </c>
      <c r="D253" s="56">
        <v>3984</v>
      </c>
      <c r="E253" s="58">
        <f t="shared" si="3"/>
        <v>3.9780000000000002</v>
      </c>
      <c r="F253" s="58">
        <f t="shared" si="3"/>
        <v>3.984</v>
      </c>
    </row>
    <row r="254" spans="1:6" x14ac:dyDescent="0.25">
      <c r="B254" s="55" t="s">
        <v>91</v>
      </c>
      <c r="E254" s="59">
        <f>AVERAGE(E2:F253)</f>
        <v>3.8672003968253983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Costeo de recursos</vt:lpstr>
      <vt:lpstr>Costos de personal</vt:lpstr>
      <vt:lpstr>Tipo de cambio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Fiorella Ruiz Hernandez</dc:creator>
  <cp:lastModifiedBy>Betty Samanda Pozo Cruz</cp:lastModifiedBy>
  <dcterms:created xsi:type="dcterms:W3CDTF">2022-10-26T01:45:44Z</dcterms:created>
  <dcterms:modified xsi:type="dcterms:W3CDTF">2023-03-10T16:40:48Z</dcterms:modified>
</cp:coreProperties>
</file>