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valetam\Desktop\2022\1. APMT\4. Propuesta Tarifaria Gasificado\Publicación web\"/>
    </mc:Choice>
  </mc:AlternateContent>
  <xr:revisionPtr revIDLastSave="0" documentId="13_ncr:1_{E642439F-E12E-4B55-975F-19E06182E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áfico 1" sheetId="11" r:id="rId1"/>
    <sheet name="Gráfico 2" sheetId="12" r:id="rId2"/>
    <sheet name="Cuadro 3. Muestra Inicial" sheetId="10" r:id="rId3"/>
    <sheet name="Cuadro 4. Test de Turkey" sheetId="13" r:id="rId4"/>
    <sheet name="Cuadro 5.Test de Chauvenet" sheetId="14" r:id="rId5"/>
    <sheet name="Cuadro 6. Test de Peirce" sheetId="15" r:id="rId6"/>
    <sheet name="Cuadro 7. Propuesta Tarifa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5" l="1"/>
  <c r="L12" i="15" s="1"/>
  <c r="Q36" i="15"/>
  <c r="Q26" i="15"/>
  <c r="Q32" i="15" s="1"/>
  <c r="Q14" i="15"/>
  <c r="Q31" i="15" s="1"/>
  <c r="Q35" i="15" s="1"/>
  <c r="Q13" i="15"/>
  <c r="Q12" i="15"/>
  <c r="K36" i="15"/>
  <c r="L26" i="15"/>
  <c r="K26" i="15"/>
  <c r="K32" i="15" s="1"/>
  <c r="L14" i="15"/>
  <c r="L25" i="15" s="1"/>
  <c r="K14" i="15"/>
  <c r="K25" i="15" s="1"/>
  <c r="L13" i="15"/>
  <c r="K13" i="15"/>
  <c r="K12" i="15"/>
  <c r="P16" i="14"/>
  <c r="E36" i="15"/>
  <c r="F26" i="15"/>
  <c r="E26" i="15"/>
  <c r="E32" i="15" s="1"/>
  <c r="E14" i="15"/>
  <c r="E31" i="15" s="1"/>
  <c r="E35" i="15" s="1"/>
  <c r="E13" i="15"/>
  <c r="E12" i="15"/>
  <c r="F5" i="15"/>
  <c r="F13" i="15" s="1"/>
  <c r="K21" i="14"/>
  <c r="K22" i="14" s="1"/>
  <c r="F21" i="14"/>
  <c r="F22" i="14" s="1"/>
  <c r="E21" i="14"/>
  <c r="E22" i="14" s="1"/>
  <c r="K16" i="14"/>
  <c r="F16" i="14"/>
  <c r="E16" i="14"/>
  <c r="P14" i="14"/>
  <c r="K14" i="14"/>
  <c r="E14" i="14"/>
  <c r="P13" i="14"/>
  <c r="K13" i="14"/>
  <c r="E13" i="14"/>
  <c r="P12" i="14"/>
  <c r="K12" i="14"/>
  <c r="E12" i="14"/>
  <c r="F8" i="14"/>
  <c r="F7" i="14"/>
  <c r="F6" i="14"/>
  <c r="F5" i="14"/>
  <c r="D15" i="13"/>
  <c r="D14" i="13"/>
  <c r="D13" i="13"/>
  <c r="D12" i="13"/>
  <c r="H8" i="13"/>
  <c r="H5" i="13"/>
  <c r="H15" i="13" s="1"/>
  <c r="G6" i="12"/>
  <c r="Q25" i="15" l="1"/>
  <c r="K27" i="15"/>
  <c r="F27" i="15"/>
  <c r="L27" i="15"/>
  <c r="K33" i="15"/>
  <c r="K37" i="15"/>
  <c r="K31" i="15"/>
  <c r="K35" i="15" s="1"/>
  <c r="F12" i="15"/>
  <c r="E37" i="15"/>
  <c r="E33" i="15"/>
  <c r="E23" i="14"/>
  <c r="E18" i="14"/>
  <c r="E19" i="14" s="1"/>
  <c r="F12" i="14"/>
  <c r="F23" i="14" s="1"/>
  <c r="P18" i="14"/>
  <c r="P19" i="14" s="1"/>
  <c r="K18" i="14"/>
  <c r="K19" i="14" s="1"/>
  <c r="K23" i="14"/>
  <c r="F14" i="15"/>
  <c r="F25" i="15" s="1"/>
  <c r="E27" i="15"/>
  <c r="E25" i="15"/>
  <c r="F13" i="14"/>
  <c r="F18" i="14" s="1"/>
  <c r="F14" i="14"/>
  <c r="L12" i="13"/>
  <c r="H14" i="13"/>
  <c r="H12" i="13"/>
  <c r="H13" i="13"/>
  <c r="D16" i="13"/>
  <c r="D18" i="13" s="1"/>
  <c r="G7" i="12"/>
  <c r="F19" i="14" l="1"/>
  <c r="L13" i="13"/>
  <c r="L15" i="13"/>
  <c r="L14" i="13"/>
  <c r="D19" i="13"/>
  <c r="H16" i="13"/>
  <c r="H19" i="13" s="1"/>
  <c r="H10" i="10"/>
  <c r="H9" i="10"/>
  <c r="E8" i="8"/>
  <c r="F8" i="8"/>
  <c r="L16" i="13" l="1"/>
  <c r="L19" i="13" s="1"/>
  <c r="H18" i="13"/>
  <c r="L18" i="13" l="1"/>
  <c r="D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tc={B7BCAB5D-6300-4E09-B856-03379A9D5D8E}</author>
  </authors>
  <commentList>
    <comment ref="D8" authorId="0" shapeId="0" xr:uid="{B7BCAB5D-6300-4E09-B856-03379A9D5D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tc={F340E1A7-CC1C-478F-8A39-CB433BFB74A2}</author>
    <author>tc={FE90F323-AAB1-4C58-B87E-A5B75658A1F0}</author>
    <author>tc={88AABD22-771D-47B1-A1E5-6348E56C783C}</author>
  </authors>
  <commentList>
    <comment ref="C8" authorId="0" shapeId="0" xr:uid="{F340E1A7-CC1C-478F-8A39-CB433BFB74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  <comment ref="G8" authorId="1" shapeId="0" xr:uid="{FE90F323-AAB1-4C58-B87E-A5B75658A1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  <comment ref="K8" authorId="2" shapeId="0" xr:uid="{88AABD22-771D-47B1-A1E5-6348E56C78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tc={022294AC-2767-4C21-A992-1D07B935CED7}</author>
    <author>tc={6720B8A8-B45A-4DAA-8F5F-3A5367EA9A51}</author>
    <author>tc={DA5BBF55-4972-48A9-A476-D3BEBBDC5FBC}</author>
  </authors>
  <commentList>
    <comment ref="C8" authorId="0" shapeId="0" xr:uid="{022294AC-2767-4C21-A992-1D07B935CE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  <comment ref="I8" authorId="1" shapeId="0" xr:uid="{6720B8A8-B45A-4DAA-8F5F-3A5367EA9A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  <comment ref="N8" authorId="2" shapeId="0" xr:uid="{DA5BBF55-4972-48A9-A476-D3BEBBDC5F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tc={D0CADF31-7682-4DEC-84A4-AC52304B8D44}</author>
    <author>tc={3A2C6256-EE63-4B61-B2B4-E4240958CCC8}</author>
    <author>tc={3084DA72-2B4B-46BA-A9C9-5181D2CE281E}</author>
  </authors>
  <commentList>
    <comment ref="C8" authorId="0" shapeId="0" xr:uid="{D0CADF31-7682-4DEC-84A4-AC52304B8D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  <comment ref="I8" authorId="1" shapeId="0" xr:uid="{3A2C6256-EE63-4B61-B2B4-E4240958CC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  <comment ref="O8" authorId="2" shapeId="0" xr:uid="{3084DA72-2B4B-46BA-A9C9-5181D2CE281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tc={5E4AB9FB-2957-4BD3-94D2-C032D35A1276}</author>
  </authors>
  <commentList>
    <comment ref="C6" authorId="0" shapeId="0" xr:uid="{5E4AB9FB-2957-4BD3-94D2-C032D35A12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Información confidencial, según lo indicado en la Resolución de Consejo Directivo N° 0022-2022-CD-OSITRAN.</t>
      </text>
    </comment>
  </commentList>
</comments>
</file>

<file path=xl/sharedStrings.xml><?xml version="1.0" encoding="utf-8"?>
<sst xmlns="http://schemas.openxmlformats.org/spreadsheetml/2006/main" count="319" uniqueCount="103">
  <si>
    <t>País</t>
  </si>
  <si>
    <t>Puerto</t>
  </si>
  <si>
    <t>Terminal Portuario (operador)</t>
  </si>
  <si>
    <t>Denominación</t>
  </si>
  <si>
    <t>Unidad de cobro</t>
  </si>
  <si>
    <t>Perú</t>
  </si>
  <si>
    <t>Euroandinos</t>
  </si>
  <si>
    <t>DPW Callao</t>
  </si>
  <si>
    <t>Primera aplicación</t>
  </si>
  <si>
    <t>Segunda aplicación</t>
  </si>
  <si>
    <t>Número (tamaño de muestra)</t>
  </si>
  <si>
    <t>Cuartil 1</t>
  </si>
  <si>
    <t>Cuartil 2</t>
  </si>
  <si>
    <t>Cuartil 3</t>
  </si>
  <si>
    <t>Rango intercuartílico</t>
  </si>
  <si>
    <t>Lim inf</t>
  </si>
  <si>
    <t>Lim sup</t>
  </si>
  <si>
    <t>a</t>
  </si>
  <si>
    <t>Media</t>
  </si>
  <si>
    <t>b</t>
  </si>
  <si>
    <t>Desv. Estándar</t>
  </si>
  <si>
    <t>c</t>
  </si>
  <si>
    <t>Primer Outlier probable</t>
  </si>
  <si>
    <t>d</t>
  </si>
  <si>
    <t>Diferencia 1</t>
  </si>
  <si>
    <t>e = d-b</t>
  </si>
  <si>
    <t># desviaciones estándar</t>
  </si>
  <si>
    <t>f = e/c</t>
  </si>
  <si>
    <t>Probabilidad de # desv. Est.</t>
  </si>
  <si>
    <t>g = P (f)</t>
  </si>
  <si>
    <t>h = 1-g</t>
  </si>
  <si>
    <t>i = 2*h</t>
  </si>
  <si>
    <t>Valor Estadistico (VE)</t>
  </si>
  <si>
    <t>j = a*i</t>
  </si>
  <si>
    <t>d1</t>
  </si>
  <si>
    <t>Valor critico de R (12,1)</t>
  </si>
  <si>
    <t>Desviación máxima admisible (DMA)</t>
  </si>
  <si>
    <t>e = c*d1</t>
  </si>
  <si>
    <t>Valor atipico probable</t>
  </si>
  <si>
    <t>f</t>
  </si>
  <si>
    <t>Desviación del valor atipico probable (DVAP)</t>
  </si>
  <si>
    <t>g = abs(f-b)</t>
  </si>
  <si>
    <t>d2</t>
  </si>
  <si>
    <t>h = c*d2</t>
  </si>
  <si>
    <t>i</t>
  </si>
  <si>
    <t>j = abs(i-b)</t>
  </si>
  <si>
    <t>Promedio</t>
  </si>
  <si>
    <t>Tarifa - Caso General  (USD)</t>
  </si>
  <si>
    <t>Tarifa - Sólo Nitrógeno   (USD)</t>
  </si>
  <si>
    <t>Tarifa - Sólo CO2 (USD)</t>
  </si>
  <si>
    <t>Alconsa Paita</t>
  </si>
  <si>
    <t>DPW - Puerto Central</t>
  </si>
  <si>
    <t>TPS Valparaíso</t>
  </si>
  <si>
    <t>Terminal Portuario o DT (operador)</t>
  </si>
  <si>
    <t>Tarifa (modalidad general)</t>
  </si>
  <si>
    <t>Tarifa (modalidad sólo N2)</t>
  </si>
  <si>
    <t>Tarifa (modalidad sólo CO2)</t>
  </si>
  <si>
    <t>Paita</t>
  </si>
  <si>
    <t>Alconsa</t>
  </si>
  <si>
    <t>Gasificado de contenedor</t>
  </si>
  <si>
    <t>Por Contenedor</t>
  </si>
  <si>
    <t>Callao</t>
  </si>
  <si>
    <t>Muelle Sur (DPW Callao)</t>
  </si>
  <si>
    <t>Inyección y provisión de gases (nitrogeno y dióxido de carbono). Incluye tres actividades</t>
  </si>
  <si>
    <t>Chile</t>
  </si>
  <si>
    <t>San Antonio</t>
  </si>
  <si>
    <t>Puerto Central (DP World San Antonio)</t>
  </si>
  <si>
    <t>Ventilación a Contenedores con gases interferentes</t>
  </si>
  <si>
    <t>Valparaíso</t>
  </si>
  <si>
    <t xml:space="preserve">TPS </t>
  </si>
  <si>
    <t>Inyección de gases a Contenedores refrigerados</t>
  </si>
  <si>
    <t>Arándanos 2020</t>
  </si>
  <si>
    <t>Arándanos 2021</t>
  </si>
  <si>
    <t>Palta 2020</t>
  </si>
  <si>
    <t>Palta 2021</t>
  </si>
  <si>
    <t>Total reefer exportados</t>
  </si>
  <si>
    <t>Arándanos exportados</t>
  </si>
  <si>
    <t>Gasificado arándanos</t>
  </si>
  <si>
    <t>Total Gasificados</t>
  </si>
  <si>
    <t>Porcentaje de contenedores gasificados</t>
  </si>
  <si>
    <t>TEST DE TURKEY (modalidad general)</t>
  </si>
  <si>
    <t>TEST DE TURKEY (modalidad N2)</t>
  </si>
  <si>
    <t>TEST DE TURKEY (modalidad CO2)</t>
  </si>
  <si>
    <t>Alconsa - Paita</t>
  </si>
  <si>
    <t>Alcona - Paita</t>
  </si>
  <si>
    <t>Valor critico de R (6,1)</t>
  </si>
  <si>
    <t>Valor critico de R (5,1)</t>
  </si>
  <si>
    <t>Valor critico de R (4,1)</t>
  </si>
  <si>
    <t>Valor critico de R (11,1)</t>
  </si>
  <si>
    <t>Valor critico de R (10,1)</t>
  </si>
  <si>
    <t>Valor critico de R (8,1)</t>
  </si>
  <si>
    <t>Valor critico de R (7,1)</t>
  </si>
  <si>
    <t>Valor critico de R (6,2)</t>
  </si>
  <si>
    <t>TEST DE CHAUVENET  (modalidad general)</t>
  </si>
  <si>
    <t>TEST DE CHAUVENET (modalidad N2)</t>
  </si>
  <si>
    <t>TEST DE CHAUVENET (modalidad CO2)</t>
  </si>
  <si>
    <t>TEST DE PEIRCE (modalidad general)</t>
  </si>
  <si>
    <t>TEST DE PEIRCE (modalidad sólo N2)</t>
  </si>
  <si>
    <t>TEST DE PEIRCE (modalidad sólo CO2)</t>
  </si>
  <si>
    <t>Valor critico de R (2,1)</t>
  </si>
  <si>
    <t>Valor critico de R (2,2)</t>
  </si>
  <si>
    <t>Evolución mensual: número de contenedores movilizados por el Puerto del Callao</t>
  </si>
  <si>
    <t>Puerto del Callao: número de contenedores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</si>
</sst>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0.000"/>
    <numFmt numFmtId="167" formatCode="0.0%"/>
    <numFmt numFmtId="168" formatCode="_-* #,##0_-;\-* #,##0_-;_-* &quot;-&quot;??_-;_-@_-"/>
    <numFmt numFmtId="169" formatCode="_-* #,##0.00\ &quot;€&quot;_-;\-* #,##0.00\ &quot;€&quot;_-;_-* &quot;-&quot;??\ &quot;€&quot;_-;_-@_-"/>
    <numFmt numFmtId="170" formatCode="_ * #,##0.0_ ;_ * \-#,##0.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2"/>
      <name val="Calibri"/>
      <family val="2"/>
      <scheme val="minor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4" borderId="0" xfId="0" applyFill="1"/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5" fillId="4" borderId="1" xfId="0" applyFont="1" applyFill="1" applyBorder="1"/>
    <xf numFmtId="2" fontId="5" fillId="4" borderId="1" xfId="0" applyNumberFormat="1" applyFont="1" applyFill="1" applyBorder="1"/>
    <xf numFmtId="0" fontId="5" fillId="4" borderId="0" xfId="0" applyFont="1" applyFill="1"/>
    <xf numFmtId="0" fontId="6" fillId="4" borderId="1" xfId="0" applyFont="1" applyFill="1" applyBorder="1"/>
    <xf numFmtId="2" fontId="6" fillId="4" borderId="1" xfId="0" applyNumberFormat="1" applyFont="1" applyFill="1" applyBorder="1"/>
    <xf numFmtId="165" fontId="5" fillId="7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167" fontId="5" fillId="6" borderId="1" xfId="2" applyNumberFormat="1" applyFont="1" applyFill="1" applyBorder="1" applyAlignment="1">
      <alignment horizontal="center" vertical="center"/>
    </xf>
    <xf numFmtId="167" fontId="5" fillId="0" borderId="1" xfId="2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9" fontId="0" fillId="0" borderId="0" xfId="2" applyFont="1"/>
    <xf numFmtId="167" fontId="0" fillId="0" borderId="0" xfId="2" applyNumberFormat="1" applyFont="1"/>
    <xf numFmtId="10" fontId="0" fillId="0" borderId="0" xfId="2" applyNumberFormat="1" applyFont="1"/>
    <xf numFmtId="0" fontId="0" fillId="0" borderId="0" xfId="0" applyAlignment="1">
      <alignment vertical="center" wrapText="1"/>
    </xf>
    <xf numFmtId="0" fontId="7" fillId="0" borderId="0" xfId="0" applyFont="1"/>
    <xf numFmtId="0" fontId="9" fillId="9" borderId="0" xfId="0" applyFont="1" applyFill="1"/>
    <xf numFmtId="0" fontId="0" fillId="0" borderId="0" xfId="0" applyAlignment="1">
      <alignment horizontal="center" vertical="center" wrapText="1"/>
    </xf>
    <xf numFmtId="168" fontId="0" fillId="0" borderId="0" xfId="3" applyNumberFormat="1" applyFont="1"/>
    <xf numFmtId="168" fontId="0" fillId="0" borderId="0" xfId="0" applyNumberFormat="1"/>
    <xf numFmtId="9" fontId="0" fillId="0" borderId="0" xfId="0" applyNumberFormat="1"/>
    <xf numFmtId="165" fontId="5" fillId="4" borderId="1" xfId="0" applyNumberFormat="1" applyFont="1" applyFill="1" applyBorder="1"/>
    <xf numFmtId="170" fontId="6" fillId="4" borderId="1" xfId="1" applyNumberFormat="1" applyFont="1" applyFill="1" applyBorder="1"/>
    <xf numFmtId="165" fontId="6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169" fontId="3" fillId="2" borderId="2" xfId="4" applyFont="1" applyFill="1" applyBorder="1" applyAlignment="1">
      <alignment horizontal="center" vertical="center"/>
    </xf>
    <xf numFmtId="169" fontId="3" fillId="2" borderId="3" xfId="4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5">
    <cellStyle name="Millares" xfId="1" builtinId="3"/>
    <cellStyle name="Milliers 2" xfId="3" xr:uid="{D47B4708-570D-4693-928D-7986432BFEB7}"/>
    <cellStyle name="Monétaire 2" xfId="4" xr:uid="{86026C38-46C2-4A5B-95A1-A09335E90D29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'Gráfico 1'!$C$5</c:f>
              <c:strCache>
                <c:ptCount val="1"/>
                <c:pt idx="0">
                  <c:v>Arándanos 2020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accent5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numRef>
              <c:f>'Gráfico 1'!$D$4:$O$4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'Gráfico 1'!$D$5:$O$5</c:f>
              <c:numCache>
                <c:formatCode>General</c:formatCode>
                <c:ptCount val="12"/>
                <c:pt idx="0">
                  <c:v>258</c:v>
                </c:pt>
                <c:pt idx="1">
                  <c:v>101</c:v>
                </c:pt>
                <c:pt idx="2">
                  <c:v>32</c:v>
                </c:pt>
                <c:pt idx="3">
                  <c:v>24</c:v>
                </c:pt>
                <c:pt idx="4">
                  <c:v>15</c:v>
                </c:pt>
                <c:pt idx="5">
                  <c:v>25</c:v>
                </c:pt>
                <c:pt idx="6">
                  <c:v>229</c:v>
                </c:pt>
                <c:pt idx="7">
                  <c:v>815</c:v>
                </c:pt>
                <c:pt idx="8">
                  <c:v>1353</c:v>
                </c:pt>
                <c:pt idx="9">
                  <c:v>1677</c:v>
                </c:pt>
                <c:pt idx="10">
                  <c:v>1204</c:v>
                </c:pt>
                <c:pt idx="11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66-4F16-B861-A21697BAF726}"/>
            </c:ext>
          </c:extLst>
        </c:ser>
        <c:ser>
          <c:idx val="1"/>
          <c:order val="1"/>
          <c:tx>
            <c:strRef>
              <c:f>'Gráfico 1'!$C$6</c:f>
              <c:strCache>
                <c:ptCount val="1"/>
                <c:pt idx="0">
                  <c:v>Arándanos 2021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'Gráfico 1'!$D$4:$O$4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'Gráfico 1'!$D$6:$O$6</c:f>
              <c:numCache>
                <c:formatCode>General</c:formatCode>
                <c:ptCount val="12"/>
                <c:pt idx="0">
                  <c:v>210</c:v>
                </c:pt>
                <c:pt idx="1">
                  <c:v>126</c:v>
                </c:pt>
                <c:pt idx="2">
                  <c:v>79</c:v>
                </c:pt>
                <c:pt idx="3">
                  <c:v>38</c:v>
                </c:pt>
                <c:pt idx="4">
                  <c:v>18</c:v>
                </c:pt>
                <c:pt idx="5">
                  <c:v>26</c:v>
                </c:pt>
                <c:pt idx="6">
                  <c:v>173</c:v>
                </c:pt>
                <c:pt idx="7">
                  <c:v>871</c:v>
                </c:pt>
                <c:pt idx="8">
                  <c:v>2101</c:v>
                </c:pt>
                <c:pt idx="9">
                  <c:v>2545</c:v>
                </c:pt>
                <c:pt idx="10">
                  <c:v>1588</c:v>
                </c:pt>
                <c:pt idx="11">
                  <c:v>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6-4F16-B861-A21697BAF726}"/>
            </c:ext>
          </c:extLst>
        </c:ser>
        <c:ser>
          <c:idx val="2"/>
          <c:order val="2"/>
          <c:tx>
            <c:strRef>
              <c:f>'Gráfico 1'!$C$7</c:f>
              <c:strCache>
                <c:ptCount val="1"/>
                <c:pt idx="0">
                  <c:v>Palta 2020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numRef>
              <c:f>'Gráfico 1'!$D$4:$O$4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'Gráfico 1'!$D$7:$O$7</c:f>
              <c:numCache>
                <c:formatCode>General</c:formatCode>
                <c:ptCount val="12"/>
                <c:pt idx="0">
                  <c:v>106</c:v>
                </c:pt>
                <c:pt idx="1">
                  <c:v>332</c:v>
                </c:pt>
                <c:pt idx="2">
                  <c:v>828</c:v>
                </c:pt>
                <c:pt idx="3">
                  <c:v>1277</c:v>
                </c:pt>
                <c:pt idx="4">
                  <c:v>2397</c:v>
                </c:pt>
                <c:pt idx="5">
                  <c:v>2476</c:v>
                </c:pt>
                <c:pt idx="6">
                  <c:v>2321</c:v>
                </c:pt>
                <c:pt idx="7">
                  <c:v>1687</c:v>
                </c:pt>
                <c:pt idx="8">
                  <c:v>492</c:v>
                </c:pt>
                <c:pt idx="9">
                  <c:v>90</c:v>
                </c:pt>
                <c:pt idx="10">
                  <c:v>100</c:v>
                </c:pt>
                <c:pt idx="11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66-4F16-B861-A21697BAF726}"/>
            </c:ext>
          </c:extLst>
        </c:ser>
        <c:ser>
          <c:idx val="3"/>
          <c:order val="3"/>
          <c:tx>
            <c:strRef>
              <c:f>'Gráfico 1'!$C$8</c:f>
              <c:strCache>
                <c:ptCount val="1"/>
                <c:pt idx="0">
                  <c:v>Palta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'Gráfico 1'!$D$4:$O$4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'Gráfico 1'!$D$8:$O$8</c:f>
              <c:numCache>
                <c:formatCode>General</c:formatCode>
                <c:ptCount val="12"/>
                <c:pt idx="0">
                  <c:v>150</c:v>
                </c:pt>
                <c:pt idx="1">
                  <c:v>427</c:v>
                </c:pt>
                <c:pt idx="2">
                  <c:v>1057</c:v>
                </c:pt>
                <c:pt idx="3">
                  <c:v>1704</c:v>
                </c:pt>
                <c:pt idx="4">
                  <c:v>2280</c:v>
                </c:pt>
                <c:pt idx="5">
                  <c:v>2733</c:v>
                </c:pt>
                <c:pt idx="6">
                  <c:v>3310</c:v>
                </c:pt>
                <c:pt idx="7">
                  <c:v>2182</c:v>
                </c:pt>
                <c:pt idx="8">
                  <c:v>1271</c:v>
                </c:pt>
                <c:pt idx="9">
                  <c:v>113</c:v>
                </c:pt>
                <c:pt idx="10">
                  <c:v>107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66-4F16-B861-A21697BAF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891216"/>
        <c:axId val="1013888976"/>
      </c:lineChart>
      <c:catAx>
        <c:axId val="101389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13888976"/>
        <c:crosses val="autoZero"/>
        <c:auto val="1"/>
        <c:lblAlgn val="ctr"/>
        <c:lblOffset val="100"/>
        <c:noMultiLvlLbl val="0"/>
      </c:catAx>
      <c:valAx>
        <c:axId val="101388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20000"/>
                  <a:lumOff val="8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r>
                  <a:rPr lang="en-US" b="1">
                    <a:latin typeface="Garamond" panose="02020404030301010803" pitchFamily="18" charset="0"/>
                  </a:rPr>
                  <a:t>Contenedores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72248833479148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aramond" panose="02020404030301010803" pitchFamily="18" charset="0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PE"/>
          </a:p>
        </c:txPr>
        <c:crossAx val="101389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2'!$B$5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2'!$C$3:$F$3</c:f>
              <c:strCache>
                <c:ptCount val="4"/>
                <c:pt idx="0">
                  <c:v>Total reefer exportados</c:v>
                </c:pt>
                <c:pt idx="1">
                  <c:v>Arándanos exportados</c:v>
                </c:pt>
                <c:pt idx="2">
                  <c:v>Gasificado arándanos</c:v>
                </c:pt>
                <c:pt idx="3">
                  <c:v>Total Gasificados</c:v>
                </c:pt>
              </c:strCache>
            </c:strRef>
          </c:cat>
          <c:val>
            <c:numRef>
              <c:f>'Gráfico 2'!$C$5:$F$5</c:f>
              <c:numCache>
                <c:formatCode>_-* #,##0_-;\-* #,##0_-;_-* "-"??_-;_-@_-</c:formatCode>
                <c:ptCount val="4"/>
                <c:pt idx="0">
                  <c:v>55371</c:v>
                </c:pt>
                <c:pt idx="1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C-4429-97FF-F1A820706E27}"/>
            </c:ext>
          </c:extLst>
        </c:ser>
        <c:ser>
          <c:idx val="1"/>
          <c:order val="1"/>
          <c:tx>
            <c:strRef>
              <c:f>'Gráfico 2'!$B$6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2'!$C$3:$F$3</c:f>
              <c:strCache>
                <c:ptCount val="4"/>
                <c:pt idx="0">
                  <c:v>Total reefer exportados</c:v>
                </c:pt>
                <c:pt idx="1">
                  <c:v>Arándanos exportados</c:v>
                </c:pt>
                <c:pt idx="2">
                  <c:v>Gasificado arándanos</c:v>
                </c:pt>
                <c:pt idx="3">
                  <c:v>Total Gasificados</c:v>
                </c:pt>
              </c:strCache>
            </c:strRef>
          </c:cat>
          <c:val>
            <c:numRef>
              <c:f>'Gráfico 2'!$C$6:$F$6</c:f>
              <c:numCache>
                <c:formatCode>_-* #,##0_-;\-* #,##0_-;_-* "-"??_-;_-@_-</c:formatCode>
                <c:ptCount val="4"/>
                <c:pt idx="0">
                  <c:v>64740</c:v>
                </c:pt>
                <c:pt idx="1">
                  <c:v>6291</c:v>
                </c:pt>
                <c:pt idx="2">
                  <c:v>3146</c:v>
                </c:pt>
                <c:pt idx="3">
                  <c:v>3932.5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AC-4429-97FF-F1A820706E27}"/>
            </c:ext>
          </c:extLst>
        </c:ser>
        <c:ser>
          <c:idx val="2"/>
          <c:order val="2"/>
          <c:tx>
            <c:strRef>
              <c:f>'Gráfico 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2'!$C$3:$F$3</c:f>
              <c:strCache>
                <c:ptCount val="4"/>
                <c:pt idx="0">
                  <c:v>Total reefer exportados</c:v>
                </c:pt>
                <c:pt idx="1">
                  <c:v>Arándanos exportados</c:v>
                </c:pt>
                <c:pt idx="2">
                  <c:v>Gasificado arándanos</c:v>
                </c:pt>
                <c:pt idx="3">
                  <c:v>Total Gasificados</c:v>
                </c:pt>
              </c:strCache>
            </c:strRef>
          </c:cat>
          <c:val>
            <c:numRef>
              <c:f>'Gráfico 2'!$C$7:$F$7</c:f>
              <c:numCache>
                <c:formatCode>_-* #,##0_-;\-* #,##0_-;_-* "-"??_-;_-@_-</c:formatCode>
                <c:ptCount val="4"/>
                <c:pt idx="0">
                  <c:v>77492</c:v>
                </c:pt>
                <c:pt idx="1">
                  <c:v>8591</c:v>
                </c:pt>
                <c:pt idx="2">
                  <c:v>4296</c:v>
                </c:pt>
                <c:pt idx="3">
                  <c:v>5370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AC-4429-97FF-F1A820706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7657976"/>
        <c:axId val="857657016"/>
      </c:barChart>
      <c:catAx>
        <c:axId val="85765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57657016"/>
        <c:crosses val="autoZero"/>
        <c:auto val="1"/>
        <c:lblAlgn val="ctr"/>
        <c:lblOffset val="100"/>
        <c:noMultiLvlLbl val="0"/>
      </c:catAx>
      <c:valAx>
        <c:axId val="85765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576579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1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PE"/>
                    <a:t>Miles de contenedores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8</xdr:row>
      <xdr:rowOff>119062</xdr:rowOff>
    </xdr:from>
    <xdr:to>
      <xdr:col>10</xdr:col>
      <xdr:colOff>66675</xdr:colOff>
      <xdr:row>23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CE4D7D1-A194-4F3A-A7B1-E39C8A9AC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7</xdr:row>
      <xdr:rowOff>147637</xdr:rowOff>
    </xdr:from>
    <xdr:to>
      <xdr:col>7</xdr:col>
      <xdr:colOff>657225</xdr:colOff>
      <xdr:row>22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C7E7E3D-B576-495C-81D8-82D0A365F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ue Zavaleta" id="{F13D9231-2C21-4CA1-8B9F-EBD6645065FD}" userId="S::jzavaletam@ositran.gob.pe::9ca170e1-b723-4489-b4b5-adea7cea39ed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2-08-12T16:27:10.38" personId="{F13D9231-2C21-4CA1-8B9F-EBD6645065FD}" id="{B7BCAB5D-6300-4E09-B856-03379A9D5D8E}">
    <text>Información confidencial, según lo indicado en la Resolución de Consejo Directivo N° 0022-2022-CD-OSITRAN.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8" dT="2022-08-12T16:27:50.95" personId="{F13D9231-2C21-4CA1-8B9F-EBD6645065FD}" id="{F340E1A7-CC1C-478F-8A39-CB433BFB74A2}">
    <text>Información confidencial, según lo indicado en la Resolución de Consejo Directivo N° 0022-2022-CD-OSITRAN.</text>
  </threadedComment>
  <threadedComment ref="G8" dT="2022-08-12T16:27:56.60" personId="{F13D9231-2C21-4CA1-8B9F-EBD6645065FD}" id="{FE90F323-AAB1-4C58-B87E-A5B75658A1F0}">
    <text>Información confidencial, según lo indicado en la Resolución de Consejo Directivo N° 0022-2022-CD-OSITRAN.</text>
  </threadedComment>
  <threadedComment ref="K8" dT="2022-08-12T16:28:02.14" personId="{F13D9231-2C21-4CA1-8B9F-EBD6645065FD}" id="{88AABD22-771D-47B1-A1E5-6348E56C783C}">
    <text>Información confidencial, según lo indicado en la Resolución de Consejo Directivo N° 0022-2022-CD-OSITRAN.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8" dT="2022-08-12T16:28:13.10" personId="{F13D9231-2C21-4CA1-8B9F-EBD6645065FD}" id="{022294AC-2767-4C21-A992-1D07B935CED7}">
    <text>Información confidencial, según lo indicado en la Resolución de Consejo Directivo N° 0022-2022-CD-OSITRAN.</text>
  </threadedComment>
  <threadedComment ref="I8" dT="2022-08-12T16:28:17.49" personId="{F13D9231-2C21-4CA1-8B9F-EBD6645065FD}" id="{6720B8A8-B45A-4DAA-8F5F-3A5367EA9A51}">
    <text>Información confidencial, según lo indicado en la Resolución de Consejo Directivo N° 0022-2022-CD-OSITRAN.</text>
  </threadedComment>
  <threadedComment ref="N8" dT="2022-08-12T16:28:22.51" personId="{F13D9231-2C21-4CA1-8B9F-EBD6645065FD}" id="{DA5BBF55-4972-48A9-A476-D3BEBBDC5FBC}">
    <text>Información confidencial, según lo indicado en la Resolución de Consejo Directivo N° 0022-2022-CD-OSITRAN.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8" dT="2022-08-12T16:28:32.84" personId="{F13D9231-2C21-4CA1-8B9F-EBD6645065FD}" id="{D0CADF31-7682-4DEC-84A4-AC52304B8D44}">
    <text>Información confidencial, según lo indicado en la Resolución de Consejo Directivo N° 0022-2022-CD-OSITRAN.</text>
  </threadedComment>
  <threadedComment ref="I8" dT="2022-08-12T16:28:37.25" personId="{F13D9231-2C21-4CA1-8B9F-EBD6645065FD}" id="{3A2C6256-EE63-4B61-B2B4-E4240958CCC8}">
    <text>Información confidencial, según lo indicado en la Resolución de Consejo Directivo N° 0022-2022-CD-OSITRAN.</text>
  </threadedComment>
  <threadedComment ref="O8" dT="2022-08-12T16:28:42.10" personId="{F13D9231-2C21-4CA1-8B9F-EBD6645065FD}" id="{3084DA72-2B4B-46BA-A9C9-5181D2CE281E}">
    <text>Información confidencial, según lo indicado en la Resolución de Consejo Directivo N° 0022-2022-CD-OSITRAN.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6" dT="2022-08-12T16:28:57.42" personId="{F13D9231-2C21-4CA1-8B9F-EBD6645065FD}" id="{5E4AB9FB-2957-4BD3-94D2-C032D35A1276}">
    <text>Información confidencial, según lo indicado en la Resolución de Consejo Directivo N° 0022-2022-CD-OSITRAN.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1E34-2A76-438B-A295-888EB54EE911}">
  <dimension ref="B2:O8"/>
  <sheetViews>
    <sheetView tabSelected="1" workbookViewId="0">
      <selection activeCell="B2" sqref="B2"/>
    </sheetView>
  </sheetViews>
  <sheetFormatPr baseColWidth="10" defaultRowHeight="15" x14ac:dyDescent="0.25"/>
  <cols>
    <col min="3" max="3" width="18.5703125" customWidth="1"/>
  </cols>
  <sheetData>
    <row r="2" spans="2:15" x14ac:dyDescent="0.25">
      <c r="B2" s="35" t="s">
        <v>101</v>
      </c>
    </row>
    <row r="4" spans="2:15" x14ac:dyDescent="0.25">
      <c r="D4" s="36">
        <v>1</v>
      </c>
      <c r="E4" s="36">
        <v>2</v>
      </c>
      <c r="F4" s="36">
        <v>3</v>
      </c>
      <c r="G4" s="36">
        <v>4</v>
      </c>
      <c r="H4" s="36">
        <v>5</v>
      </c>
      <c r="I4" s="36">
        <v>6</v>
      </c>
      <c r="J4" s="36">
        <v>7</v>
      </c>
      <c r="K4" s="36">
        <v>8</v>
      </c>
      <c r="L4" s="36">
        <v>9</v>
      </c>
      <c r="M4" s="36">
        <v>10</v>
      </c>
      <c r="N4" s="36">
        <v>11</v>
      </c>
      <c r="O4" s="36">
        <v>12</v>
      </c>
    </row>
    <row r="5" spans="2:15" x14ac:dyDescent="0.25">
      <c r="C5" t="s">
        <v>71</v>
      </c>
      <c r="D5">
        <v>258</v>
      </c>
      <c r="E5">
        <v>101</v>
      </c>
      <c r="F5">
        <v>32</v>
      </c>
      <c r="G5">
        <v>24</v>
      </c>
      <c r="H5">
        <v>15</v>
      </c>
      <c r="I5">
        <v>25</v>
      </c>
      <c r="J5">
        <v>229</v>
      </c>
      <c r="K5">
        <v>815</v>
      </c>
      <c r="L5">
        <v>1353</v>
      </c>
      <c r="M5">
        <v>1677</v>
      </c>
      <c r="N5">
        <v>1204</v>
      </c>
      <c r="O5">
        <v>558</v>
      </c>
    </row>
    <row r="6" spans="2:15" x14ac:dyDescent="0.25">
      <c r="C6" t="s">
        <v>72</v>
      </c>
      <c r="D6">
        <v>210</v>
      </c>
      <c r="E6">
        <v>126</v>
      </c>
      <c r="F6">
        <v>79</v>
      </c>
      <c r="G6">
        <v>38</v>
      </c>
      <c r="H6">
        <v>18</v>
      </c>
      <c r="I6">
        <v>26</v>
      </c>
      <c r="J6">
        <v>173</v>
      </c>
      <c r="K6">
        <v>871</v>
      </c>
      <c r="L6">
        <v>2101</v>
      </c>
      <c r="M6">
        <v>2545</v>
      </c>
      <c r="N6">
        <v>1588</v>
      </c>
      <c r="O6">
        <v>803</v>
      </c>
    </row>
    <row r="7" spans="2:15" x14ac:dyDescent="0.25">
      <c r="C7" t="s">
        <v>73</v>
      </c>
      <c r="D7">
        <v>106</v>
      </c>
      <c r="E7">
        <v>332</v>
      </c>
      <c r="F7">
        <v>828</v>
      </c>
      <c r="G7">
        <v>1277</v>
      </c>
      <c r="H7">
        <v>2397</v>
      </c>
      <c r="I7">
        <v>2476</v>
      </c>
      <c r="J7">
        <v>2321</v>
      </c>
      <c r="K7">
        <v>1687</v>
      </c>
      <c r="L7">
        <v>492</v>
      </c>
      <c r="M7">
        <v>90</v>
      </c>
      <c r="N7">
        <v>100</v>
      </c>
      <c r="O7">
        <v>129</v>
      </c>
    </row>
    <row r="8" spans="2:15" x14ac:dyDescent="0.25">
      <c r="C8" t="s">
        <v>74</v>
      </c>
      <c r="D8">
        <v>150</v>
      </c>
      <c r="E8">
        <v>427</v>
      </c>
      <c r="F8">
        <v>1057</v>
      </c>
      <c r="G8">
        <v>1704</v>
      </c>
      <c r="H8">
        <v>2280</v>
      </c>
      <c r="I8">
        <v>2733</v>
      </c>
      <c r="J8">
        <v>3310</v>
      </c>
      <c r="K8">
        <v>2182</v>
      </c>
      <c r="L8">
        <v>1271</v>
      </c>
      <c r="M8">
        <v>113</v>
      </c>
      <c r="N8">
        <v>107</v>
      </c>
      <c r="O8">
        <v>116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CEC3-F052-46F5-8859-8DC28C0B72E0}">
  <dimension ref="B2:N23"/>
  <sheetViews>
    <sheetView workbookViewId="0">
      <selection activeCell="F38" sqref="F38"/>
    </sheetView>
  </sheetViews>
  <sheetFormatPr baseColWidth="10" defaultRowHeight="15" x14ac:dyDescent="0.25"/>
  <cols>
    <col min="1" max="1" width="6.28515625" customWidth="1"/>
    <col min="2" max="2" width="8.28515625" customWidth="1"/>
    <col min="11" max="11" width="14.85546875" bestFit="1" customWidth="1"/>
  </cols>
  <sheetData>
    <row r="2" spans="2:11" x14ac:dyDescent="0.25">
      <c r="B2" t="s">
        <v>102</v>
      </c>
    </row>
    <row r="3" spans="2:11" ht="75" x14ac:dyDescent="0.25">
      <c r="C3" s="37" t="s">
        <v>75</v>
      </c>
      <c r="D3" s="37" t="s">
        <v>76</v>
      </c>
      <c r="E3" s="37" t="s">
        <v>77</v>
      </c>
      <c r="F3" s="37" t="s">
        <v>78</v>
      </c>
      <c r="G3" s="37" t="s">
        <v>79</v>
      </c>
    </row>
    <row r="4" spans="2:11" x14ac:dyDescent="0.25">
      <c r="B4">
        <v>2016</v>
      </c>
      <c r="C4" s="38">
        <v>38160</v>
      </c>
      <c r="D4" s="38">
        <v>1326</v>
      </c>
      <c r="E4" s="37"/>
      <c r="F4" s="37"/>
      <c r="G4" s="37"/>
    </row>
    <row r="5" spans="2:11" x14ac:dyDescent="0.25">
      <c r="B5">
        <v>2019</v>
      </c>
      <c r="C5" s="38">
        <v>55371</v>
      </c>
      <c r="D5" s="38">
        <v>5050</v>
      </c>
      <c r="E5" s="38"/>
      <c r="F5" s="38"/>
    </row>
    <row r="6" spans="2:11" x14ac:dyDescent="0.25">
      <c r="B6">
        <v>2020</v>
      </c>
      <c r="C6" s="38">
        <v>64740</v>
      </c>
      <c r="D6" s="38">
        <v>6291</v>
      </c>
      <c r="E6" s="38">
        <v>3146</v>
      </c>
      <c r="F6" s="38">
        <v>3932.5</v>
      </c>
      <c r="G6" s="32">
        <f>F6/C6</f>
        <v>6.07429718875502E-2</v>
      </c>
    </row>
    <row r="7" spans="2:11" x14ac:dyDescent="0.25">
      <c r="B7">
        <v>2021</v>
      </c>
      <c r="C7" s="38">
        <v>77492</v>
      </c>
      <c r="D7" s="38">
        <v>8591</v>
      </c>
      <c r="E7" s="38">
        <v>4296</v>
      </c>
      <c r="F7" s="38">
        <v>5370</v>
      </c>
      <c r="G7" s="32">
        <f>F7/C7</f>
        <v>6.9297475868476746E-2</v>
      </c>
      <c r="I7" s="33"/>
    </row>
    <row r="8" spans="2:11" x14ac:dyDescent="0.25">
      <c r="I8" s="31"/>
      <c r="J8" s="31"/>
    </row>
    <row r="9" spans="2:11" x14ac:dyDescent="0.25">
      <c r="J9" s="31"/>
    </row>
    <row r="15" spans="2:11" x14ac:dyDescent="0.25">
      <c r="K15" s="31"/>
    </row>
    <row r="17" spans="11:14" x14ac:dyDescent="0.25">
      <c r="K17" s="39"/>
      <c r="M17" s="33"/>
      <c r="N17" s="33"/>
    </row>
    <row r="18" spans="11:14" x14ac:dyDescent="0.25">
      <c r="K18" s="40"/>
    </row>
    <row r="19" spans="11:14" x14ac:dyDescent="0.25">
      <c r="K19" s="39"/>
    </row>
    <row r="21" spans="11:14" x14ac:dyDescent="0.25">
      <c r="K21" s="39"/>
    </row>
    <row r="22" spans="11:14" x14ac:dyDescent="0.25">
      <c r="K22" s="38"/>
    </row>
    <row r="23" spans="11:14" x14ac:dyDescent="0.25">
      <c r="K23" s="3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B3FB-07C1-44D3-93D4-616FE49824D6}">
  <dimension ref="B4:I12"/>
  <sheetViews>
    <sheetView workbookViewId="0">
      <selection activeCell="F38" sqref="F38"/>
    </sheetView>
  </sheetViews>
  <sheetFormatPr baseColWidth="10" defaultRowHeight="15" x14ac:dyDescent="0.25"/>
  <cols>
    <col min="2" max="2" width="6" customWidth="1"/>
    <col min="3" max="3" width="10.42578125" customWidth="1"/>
    <col min="4" max="4" width="20.140625" customWidth="1"/>
    <col min="5" max="5" width="37" customWidth="1"/>
    <col min="6" max="6" width="12.7109375" customWidth="1"/>
  </cols>
  <sheetData>
    <row r="4" spans="2:9" ht="50.25" customHeight="1" x14ac:dyDescent="0.25">
      <c r="B4" s="1" t="s">
        <v>0</v>
      </c>
      <c r="C4" s="1" t="s">
        <v>1</v>
      </c>
      <c r="D4" s="2" t="s">
        <v>53</v>
      </c>
      <c r="E4" s="1" t="s">
        <v>3</v>
      </c>
      <c r="F4" s="2" t="s">
        <v>4</v>
      </c>
      <c r="G4" s="2" t="s">
        <v>54</v>
      </c>
      <c r="H4" s="2" t="s">
        <v>55</v>
      </c>
      <c r="I4" s="2" t="s">
        <v>56</v>
      </c>
    </row>
    <row r="5" spans="2:9" ht="35.25" customHeight="1" x14ac:dyDescent="0.25">
      <c r="B5" s="3" t="s">
        <v>5</v>
      </c>
      <c r="C5" s="3" t="s">
        <v>57</v>
      </c>
      <c r="D5" s="3" t="s">
        <v>58</v>
      </c>
      <c r="E5" s="6" t="s">
        <v>59</v>
      </c>
      <c r="F5" s="4" t="s">
        <v>60</v>
      </c>
      <c r="G5" s="5">
        <v>414.9</v>
      </c>
      <c r="H5" s="5">
        <v>414.9</v>
      </c>
      <c r="I5" s="5"/>
    </row>
    <row r="6" spans="2:9" ht="35.25" customHeight="1" x14ac:dyDescent="0.25">
      <c r="B6" s="3" t="s">
        <v>5</v>
      </c>
      <c r="C6" s="3" t="s">
        <v>61</v>
      </c>
      <c r="D6" s="3" t="s">
        <v>62</v>
      </c>
      <c r="E6" s="6" t="s">
        <v>63</v>
      </c>
      <c r="F6" s="4" t="s">
        <v>60</v>
      </c>
      <c r="G6" s="5">
        <v>485</v>
      </c>
      <c r="H6" s="5">
        <v>440</v>
      </c>
      <c r="I6" s="5">
        <v>105</v>
      </c>
    </row>
    <row r="7" spans="2:9" ht="35.25" customHeight="1" x14ac:dyDescent="0.25">
      <c r="B7" s="3" t="s">
        <v>5</v>
      </c>
      <c r="C7" s="3" t="s">
        <v>57</v>
      </c>
      <c r="D7" s="3" t="s">
        <v>6</v>
      </c>
      <c r="E7" s="6" t="s">
        <v>63</v>
      </c>
      <c r="F7" s="4" t="s">
        <v>60</v>
      </c>
      <c r="G7" s="5">
        <v>485</v>
      </c>
      <c r="H7" s="5">
        <v>440</v>
      </c>
      <c r="I7" s="5">
        <v>105</v>
      </c>
    </row>
    <row r="8" spans="2:9" ht="35.25" customHeight="1" x14ac:dyDescent="0.25">
      <c r="B8" s="3" t="s">
        <v>64</v>
      </c>
      <c r="C8" s="3" t="s">
        <v>65</v>
      </c>
      <c r="D8" s="3"/>
      <c r="E8" s="6" t="s">
        <v>59</v>
      </c>
      <c r="F8" s="4" t="s">
        <v>60</v>
      </c>
      <c r="G8" s="5">
        <v>596.6</v>
      </c>
      <c r="H8" s="5">
        <v>596.6</v>
      </c>
      <c r="I8" s="5"/>
    </row>
    <row r="9" spans="2:9" ht="35.25" customHeight="1" x14ac:dyDescent="0.25">
      <c r="B9" s="3" t="s">
        <v>64</v>
      </c>
      <c r="C9" s="3" t="s">
        <v>65</v>
      </c>
      <c r="D9" s="6" t="s">
        <v>66</v>
      </c>
      <c r="E9" s="6" t="s">
        <v>67</v>
      </c>
      <c r="F9" s="4" t="s">
        <v>60</v>
      </c>
      <c r="G9" s="5">
        <v>700</v>
      </c>
      <c r="H9" s="5">
        <f>G9</f>
        <v>700</v>
      </c>
      <c r="I9" s="5"/>
    </row>
    <row r="10" spans="2:9" ht="35.25" customHeight="1" x14ac:dyDescent="0.25">
      <c r="B10" s="3" t="s">
        <v>64</v>
      </c>
      <c r="C10" s="3" t="s">
        <v>68</v>
      </c>
      <c r="D10" s="3" t="s">
        <v>69</v>
      </c>
      <c r="E10" s="3" t="s">
        <v>70</v>
      </c>
      <c r="F10" s="4" t="s">
        <v>60</v>
      </c>
      <c r="G10" s="5">
        <v>940</v>
      </c>
      <c r="H10" s="5">
        <f>G10</f>
        <v>940</v>
      </c>
      <c r="I10" s="5"/>
    </row>
    <row r="11" spans="2:9" hidden="1" x14ac:dyDescent="0.25"/>
    <row r="12" spans="2:9" hidden="1" x14ac:dyDescent="0.25">
      <c r="E12" s="34"/>
      <c r="F12" s="34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9AB0-DA60-4BFD-B25B-88FFFDB0A62F}">
  <dimension ref="B1:N118"/>
  <sheetViews>
    <sheetView workbookViewId="0">
      <selection activeCell="F38" sqref="F38"/>
    </sheetView>
  </sheetViews>
  <sheetFormatPr baseColWidth="10" defaultRowHeight="15" x14ac:dyDescent="0.25"/>
  <cols>
    <col min="2" max="2" width="3.7109375" style="7" customWidth="1"/>
    <col min="3" max="3" width="29.140625" customWidth="1"/>
    <col min="5" max="5" width="11.42578125" style="7"/>
    <col min="6" max="6" width="2.7109375" style="7" customWidth="1"/>
    <col min="7" max="7" width="25.140625" style="7" customWidth="1"/>
    <col min="8" max="9" width="11.42578125" style="7"/>
    <col min="10" max="10" width="4.85546875" style="7" customWidth="1"/>
    <col min="11" max="11" width="25.7109375" style="7" customWidth="1"/>
    <col min="12" max="14" width="11.42578125" style="7"/>
  </cols>
  <sheetData>
    <row r="1" spans="2:12" s="7" customFormat="1" x14ac:dyDescent="0.25"/>
    <row r="2" spans="2:12" s="7" customFormat="1" ht="20.25" customHeight="1" x14ac:dyDescent="0.25">
      <c r="B2" s="8" t="s">
        <v>80</v>
      </c>
      <c r="C2" s="8"/>
      <c r="D2" s="9"/>
      <c r="F2" s="8" t="s">
        <v>81</v>
      </c>
      <c r="G2" s="8"/>
      <c r="H2" s="9"/>
      <c r="J2" s="8" t="s">
        <v>82</v>
      </c>
      <c r="K2" s="8"/>
      <c r="L2" s="9"/>
    </row>
    <row r="3" spans="2:12" s="7" customFormat="1" ht="9.75" customHeight="1" x14ac:dyDescent="0.25"/>
    <row r="4" spans="2:12" ht="30" x14ac:dyDescent="0.25">
      <c r="B4" s="45" t="s">
        <v>2</v>
      </c>
      <c r="C4" s="46"/>
      <c r="D4" s="2" t="s">
        <v>8</v>
      </c>
      <c r="F4" s="45" t="s">
        <v>2</v>
      </c>
      <c r="G4" s="46"/>
      <c r="H4" s="2" t="s">
        <v>8</v>
      </c>
      <c r="J4" s="45" t="s">
        <v>2</v>
      </c>
      <c r="K4" s="46"/>
      <c r="L4" s="2" t="s">
        <v>8</v>
      </c>
    </row>
    <row r="5" spans="2:12" x14ac:dyDescent="0.25">
      <c r="B5" s="29">
        <v>1</v>
      </c>
      <c r="C5" s="6" t="s">
        <v>50</v>
      </c>
      <c r="D5" s="5">
        <v>414.85</v>
      </c>
      <c r="F5" s="29">
        <v>1</v>
      </c>
      <c r="G5" s="6" t="s">
        <v>50</v>
      </c>
      <c r="H5" s="5">
        <f>D5</f>
        <v>414.85</v>
      </c>
      <c r="J5" s="29">
        <v>1</v>
      </c>
      <c r="K5" s="6" t="s">
        <v>50</v>
      </c>
      <c r="L5" s="5"/>
    </row>
    <row r="6" spans="2:12" x14ac:dyDescent="0.25">
      <c r="B6" s="29">
        <v>2</v>
      </c>
      <c r="C6" s="6" t="s">
        <v>7</v>
      </c>
      <c r="D6" s="5">
        <v>485</v>
      </c>
      <c r="F6" s="29">
        <v>2</v>
      </c>
      <c r="G6" s="6" t="s">
        <v>7</v>
      </c>
      <c r="H6" s="5">
        <v>440</v>
      </c>
      <c r="J6" s="29">
        <v>2</v>
      </c>
      <c r="K6" s="6" t="s">
        <v>7</v>
      </c>
      <c r="L6" s="5">
        <v>105</v>
      </c>
    </row>
    <row r="7" spans="2:12" x14ac:dyDescent="0.25">
      <c r="B7" s="29">
        <v>3</v>
      </c>
      <c r="C7" s="3" t="s">
        <v>6</v>
      </c>
      <c r="D7" s="5">
        <v>485</v>
      </c>
      <c r="F7" s="29">
        <v>3</v>
      </c>
      <c r="G7" s="3" t="s">
        <v>6</v>
      </c>
      <c r="H7" s="5">
        <v>440</v>
      </c>
      <c r="J7" s="29">
        <v>3</v>
      </c>
      <c r="K7" s="3" t="s">
        <v>6</v>
      </c>
      <c r="L7" s="5">
        <v>105</v>
      </c>
    </row>
    <row r="8" spans="2:12" x14ac:dyDescent="0.25">
      <c r="B8" s="29">
        <v>4</v>
      </c>
      <c r="C8" s="3"/>
      <c r="D8" s="5">
        <v>596.6</v>
      </c>
      <c r="F8" s="29">
        <v>4</v>
      </c>
      <c r="G8" s="3"/>
      <c r="H8" s="5">
        <f>D8</f>
        <v>596.6</v>
      </c>
      <c r="J8" s="29">
        <v>4</v>
      </c>
      <c r="K8" s="3"/>
      <c r="L8" s="5"/>
    </row>
    <row r="9" spans="2:12" x14ac:dyDescent="0.25">
      <c r="B9" s="29">
        <v>5</v>
      </c>
      <c r="C9" s="3" t="s">
        <v>51</v>
      </c>
      <c r="D9" s="5">
        <v>700</v>
      </c>
      <c r="F9" s="29">
        <v>5</v>
      </c>
      <c r="G9" s="3" t="s">
        <v>51</v>
      </c>
      <c r="H9" s="5">
        <v>700</v>
      </c>
      <c r="J9" s="29">
        <v>5</v>
      </c>
      <c r="K9" s="3" t="s">
        <v>51</v>
      </c>
      <c r="L9" s="5"/>
    </row>
    <row r="10" spans="2:12" x14ac:dyDescent="0.25">
      <c r="B10" s="29">
        <v>6</v>
      </c>
      <c r="C10" s="6" t="s">
        <v>52</v>
      </c>
      <c r="D10" s="5">
        <v>940</v>
      </c>
      <c r="F10" s="29">
        <v>6</v>
      </c>
      <c r="G10" s="6" t="s">
        <v>52</v>
      </c>
      <c r="H10" s="5">
        <v>940</v>
      </c>
      <c r="J10" s="29">
        <v>6</v>
      </c>
      <c r="K10" s="6" t="s">
        <v>52</v>
      </c>
      <c r="L10" s="5"/>
    </row>
    <row r="11" spans="2:12" s="7" customFormat="1" x14ac:dyDescent="0.25"/>
    <row r="12" spans="2:12" s="7" customFormat="1" x14ac:dyDescent="0.25">
      <c r="C12" s="10" t="s">
        <v>10</v>
      </c>
      <c r="D12" s="10">
        <f>COUNT(D5:D10)</f>
        <v>6</v>
      </c>
      <c r="G12" s="10" t="s">
        <v>10</v>
      </c>
      <c r="H12" s="10">
        <f>COUNT(H5:H10)</f>
        <v>6</v>
      </c>
      <c r="K12" s="10" t="s">
        <v>10</v>
      </c>
      <c r="L12" s="10">
        <f>COUNT(L5:L10)</f>
        <v>2</v>
      </c>
    </row>
    <row r="13" spans="2:12" s="7" customFormat="1" x14ac:dyDescent="0.25">
      <c r="C13" s="10" t="s">
        <v>11</v>
      </c>
      <c r="D13" s="41">
        <f>QUARTILE(D5:D10,1)</f>
        <v>485</v>
      </c>
      <c r="G13" s="10" t="s">
        <v>11</v>
      </c>
      <c r="H13" s="11">
        <f>QUARTILE(H5:H10,1)</f>
        <v>440</v>
      </c>
      <c r="K13" s="10" t="s">
        <v>11</v>
      </c>
      <c r="L13" s="11">
        <f>QUARTILE(L5:L10,1)</f>
        <v>105</v>
      </c>
    </row>
    <row r="14" spans="2:12" s="7" customFormat="1" x14ac:dyDescent="0.25">
      <c r="C14" s="10" t="s">
        <v>12</v>
      </c>
      <c r="D14" s="41">
        <f>QUARTILE(D5:D10,2)</f>
        <v>540.79999999999995</v>
      </c>
      <c r="G14" s="10" t="s">
        <v>12</v>
      </c>
      <c r="H14" s="11">
        <f>QUARTILE(H5:H10,2)</f>
        <v>518.29999999999995</v>
      </c>
      <c r="K14" s="10" t="s">
        <v>12</v>
      </c>
      <c r="L14" s="11">
        <f>QUARTILE(L5:L10,2)</f>
        <v>105</v>
      </c>
    </row>
    <row r="15" spans="2:12" s="7" customFormat="1" x14ac:dyDescent="0.25">
      <c r="C15" s="10" t="s">
        <v>13</v>
      </c>
      <c r="D15" s="41">
        <f>QUARTILE(D5:D10,3)</f>
        <v>674.15</v>
      </c>
      <c r="G15" s="10" t="s">
        <v>13</v>
      </c>
      <c r="H15" s="11">
        <f>QUARTILE(H5:H10,3)</f>
        <v>674.15</v>
      </c>
      <c r="K15" s="10" t="s">
        <v>13</v>
      </c>
      <c r="L15" s="11">
        <f>QUARTILE(L5:L10,3)</f>
        <v>105</v>
      </c>
    </row>
    <row r="16" spans="2:12" s="7" customFormat="1" x14ac:dyDescent="0.25">
      <c r="C16" s="10" t="s">
        <v>14</v>
      </c>
      <c r="D16" s="41">
        <f>D15-D13</f>
        <v>189.14999999999998</v>
      </c>
      <c r="G16" s="10" t="s">
        <v>14</v>
      </c>
      <c r="H16" s="11">
        <f>H15-H13</f>
        <v>234.14999999999998</v>
      </c>
      <c r="K16" s="10" t="s">
        <v>14</v>
      </c>
      <c r="L16" s="11">
        <f>L15-L13</f>
        <v>0</v>
      </c>
    </row>
    <row r="17" spans="3:12" s="7" customFormat="1" x14ac:dyDescent="0.25">
      <c r="C17" s="12"/>
      <c r="D17" s="12"/>
      <c r="G17" s="12"/>
      <c r="H17" s="12"/>
      <c r="K17" s="12"/>
      <c r="L17" s="12"/>
    </row>
    <row r="18" spans="3:12" s="7" customFormat="1" x14ac:dyDescent="0.25">
      <c r="C18" s="13" t="s">
        <v>15</v>
      </c>
      <c r="D18" s="42">
        <f>D13-1.5*D16</f>
        <v>201.27500000000003</v>
      </c>
      <c r="G18" s="13" t="s">
        <v>15</v>
      </c>
      <c r="H18" s="42">
        <f>H13-1.5*H16</f>
        <v>88.775000000000034</v>
      </c>
      <c r="K18" s="13" t="s">
        <v>15</v>
      </c>
      <c r="L18" s="14">
        <f>L13-1.5*L16</f>
        <v>105</v>
      </c>
    </row>
    <row r="19" spans="3:12" s="7" customFormat="1" x14ac:dyDescent="0.25">
      <c r="C19" s="13" t="s">
        <v>16</v>
      </c>
      <c r="D19" s="42">
        <f>D15+1.5*D16</f>
        <v>957.875</v>
      </c>
      <c r="G19" s="13" t="s">
        <v>16</v>
      </c>
      <c r="H19" s="42">
        <f>H15+1.5*H16</f>
        <v>1025.375</v>
      </c>
      <c r="K19" s="13" t="s">
        <v>16</v>
      </c>
      <c r="L19" s="14">
        <f>L15+1.5*L16</f>
        <v>105</v>
      </c>
    </row>
    <row r="20" spans="3:12" s="7" customFormat="1" x14ac:dyDescent="0.25"/>
    <row r="21" spans="3:12" s="7" customFormat="1" x14ac:dyDescent="0.25"/>
    <row r="22" spans="3:12" s="7" customFormat="1" x14ac:dyDescent="0.25"/>
    <row r="23" spans="3:12" s="7" customFormat="1" x14ac:dyDescent="0.25"/>
    <row r="24" spans="3:12" s="7" customFormat="1" x14ac:dyDescent="0.25"/>
    <row r="25" spans="3:12" s="7" customFormat="1" x14ac:dyDescent="0.25"/>
    <row r="26" spans="3:12" s="7" customFormat="1" x14ac:dyDescent="0.25"/>
    <row r="27" spans="3:12" s="7" customFormat="1" x14ac:dyDescent="0.25"/>
    <row r="28" spans="3:12" s="7" customFormat="1" x14ac:dyDescent="0.25"/>
    <row r="29" spans="3:12" s="7" customFormat="1" x14ac:dyDescent="0.25"/>
    <row r="30" spans="3:12" s="7" customFormat="1" x14ac:dyDescent="0.25"/>
    <row r="31" spans="3:12" s="7" customFormat="1" x14ac:dyDescent="0.25"/>
    <row r="32" spans="3:1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</sheetData>
  <mergeCells count="3">
    <mergeCell ref="B4:C4"/>
    <mergeCell ref="F4:G4"/>
    <mergeCell ref="J4:K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7686-7A07-4171-93DB-F6B27BB9960C}">
  <dimension ref="A2:BH23"/>
  <sheetViews>
    <sheetView workbookViewId="0">
      <selection activeCell="F38" sqref="F38"/>
    </sheetView>
  </sheetViews>
  <sheetFormatPr baseColWidth="10" defaultRowHeight="15" x14ac:dyDescent="0.25"/>
  <cols>
    <col min="1" max="1" width="11.42578125" style="12"/>
    <col min="2" max="2" width="3" style="12" customWidth="1"/>
    <col min="3" max="3" width="25.85546875" style="12" customWidth="1"/>
    <col min="4" max="4" width="9.5703125" style="12" customWidth="1"/>
    <col min="5" max="7" width="11.42578125" style="12"/>
    <col min="8" max="8" width="5.28515625" style="12" customWidth="1"/>
    <col min="9" max="9" width="25.85546875" style="12" customWidth="1"/>
    <col min="10" max="10" width="9.42578125" style="12" customWidth="1"/>
    <col min="11" max="12" width="11.42578125" style="12"/>
    <col min="13" max="13" width="4.85546875" style="12" customWidth="1"/>
    <col min="14" max="14" width="25.140625" style="12" customWidth="1"/>
    <col min="15" max="15" width="9.85546875" style="12" customWidth="1"/>
    <col min="16" max="52" width="11.42578125" style="12"/>
  </cols>
  <sheetData>
    <row r="2" spans="2:60" ht="21" customHeight="1" x14ac:dyDescent="0.25">
      <c r="B2" s="8" t="s">
        <v>93</v>
      </c>
      <c r="C2" s="8"/>
      <c r="D2" s="8"/>
      <c r="E2" s="9"/>
      <c r="F2" s="9"/>
      <c r="H2" s="8" t="s">
        <v>94</v>
      </c>
      <c r="I2" s="8"/>
      <c r="J2" s="8"/>
      <c r="K2" s="9"/>
      <c r="M2" s="8" t="s">
        <v>95</v>
      </c>
      <c r="N2" s="8"/>
      <c r="O2" s="8"/>
      <c r="P2" s="9"/>
    </row>
    <row r="3" spans="2:60" ht="10.5" customHeight="1" x14ac:dyDescent="0.25"/>
    <row r="4" spans="2:60" ht="30" x14ac:dyDescent="0.25">
      <c r="B4" s="47" t="s">
        <v>2</v>
      </c>
      <c r="C4" s="48"/>
      <c r="D4" s="49"/>
      <c r="E4" s="2" t="s">
        <v>8</v>
      </c>
      <c r="F4" s="2" t="s">
        <v>9</v>
      </c>
      <c r="H4" s="47" t="s">
        <v>2</v>
      </c>
      <c r="I4" s="48"/>
      <c r="J4" s="49"/>
      <c r="K4" s="2" t="s">
        <v>8</v>
      </c>
      <c r="M4" s="47" t="s">
        <v>2</v>
      </c>
      <c r="N4" s="48"/>
      <c r="O4" s="49"/>
      <c r="P4" s="2" t="s">
        <v>8</v>
      </c>
    </row>
    <row r="5" spans="2:60" x14ac:dyDescent="0.25">
      <c r="B5" s="29">
        <v>1</v>
      </c>
      <c r="C5" s="50" t="s">
        <v>83</v>
      </c>
      <c r="D5" s="51"/>
      <c r="E5" s="5">
        <v>414.85</v>
      </c>
      <c r="F5" s="5">
        <f>E5</f>
        <v>414.85</v>
      </c>
      <c r="H5" s="29">
        <v>1</v>
      </c>
      <c r="I5" s="50" t="s">
        <v>83</v>
      </c>
      <c r="J5" s="51"/>
      <c r="K5" s="5">
        <v>414.85</v>
      </c>
      <c r="M5" s="29">
        <v>1</v>
      </c>
      <c r="N5" s="50" t="s">
        <v>83</v>
      </c>
      <c r="O5" s="51"/>
      <c r="P5" s="5"/>
    </row>
    <row r="6" spans="2:60" ht="20.25" customHeight="1" x14ac:dyDescent="0.25">
      <c r="B6" s="29">
        <v>2</v>
      </c>
      <c r="C6" s="50" t="s">
        <v>7</v>
      </c>
      <c r="D6" s="51"/>
      <c r="E6" s="5">
        <v>485</v>
      </c>
      <c r="F6" s="5">
        <f>E6</f>
        <v>485</v>
      </c>
      <c r="H6" s="29">
        <v>2</v>
      </c>
      <c r="I6" s="50" t="s">
        <v>7</v>
      </c>
      <c r="J6" s="51"/>
      <c r="K6" s="5">
        <v>440</v>
      </c>
      <c r="M6" s="29">
        <v>2</v>
      </c>
      <c r="N6" s="50" t="s">
        <v>7</v>
      </c>
      <c r="O6" s="51"/>
      <c r="P6" s="5">
        <v>105</v>
      </c>
    </row>
    <row r="7" spans="2:60" x14ac:dyDescent="0.25">
      <c r="B7" s="29">
        <v>3</v>
      </c>
      <c r="C7" s="50" t="s">
        <v>6</v>
      </c>
      <c r="D7" s="51"/>
      <c r="E7" s="5">
        <v>485</v>
      </c>
      <c r="F7" s="5">
        <f>E7</f>
        <v>485</v>
      </c>
      <c r="H7" s="29">
        <v>3</v>
      </c>
      <c r="I7" s="50" t="s">
        <v>6</v>
      </c>
      <c r="J7" s="51"/>
      <c r="K7" s="5">
        <v>440</v>
      </c>
      <c r="M7" s="29">
        <v>3</v>
      </c>
      <c r="N7" s="50" t="s">
        <v>6</v>
      </c>
      <c r="O7" s="51"/>
      <c r="P7" s="5">
        <v>105</v>
      </c>
    </row>
    <row r="8" spans="2:60" x14ac:dyDescent="0.25">
      <c r="B8" s="29">
        <v>4</v>
      </c>
      <c r="C8" s="50"/>
      <c r="D8" s="51"/>
      <c r="E8" s="5">
        <v>596.6</v>
      </c>
      <c r="F8" s="5">
        <f>E8</f>
        <v>596.6</v>
      </c>
      <c r="H8" s="29">
        <v>4</v>
      </c>
      <c r="I8" s="50"/>
      <c r="J8" s="51"/>
      <c r="K8" s="5">
        <v>596.6</v>
      </c>
      <c r="M8" s="29">
        <v>4</v>
      </c>
      <c r="N8" s="50"/>
      <c r="O8" s="51"/>
      <c r="P8" s="5"/>
    </row>
    <row r="9" spans="2:60" x14ac:dyDescent="0.25">
      <c r="B9" s="29">
        <v>5</v>
      </c>
      <c r="C9" s="50" t="s">
        <v>51</v>
      </c>
      <c r="D9" s="51"/>
      <c r="E9" s="5">
        <v>700</v>
      </c>
      <c r="F9" s="5">
        <v>700</v>
      </c>
      <c r="H9" s="29">
        <v>5</v>
      </c>
      <c r="I9" s="50" t="s">
        <v>51</v>
      </c>
      <c r="J9" s="51"/>
      <c r="K9" s="5">
        <v>700</v>
      </c>
      <c r="M9" s="29">
        <v>5</v>
      </c>
      <c r="N9" s="50" t="s">
        <v>51</v>
      </c>
      <c r="O9" s="51"/>
      <c r="P9" s="5"/>
    </row>
    <row r="10" spans="2:60" x14ac:dyDescent="0.25">
      <c r="B10" s="29">
        <v>6</v>
      </c>
      <c r="C10" s="50" t="s">
        <v>52</v>
      </c>
      <c r="D10" s="51"/>
      <c r="E10" s="15">
        <v>940</v>
      </c>
      <c r="F10" s="25"/>
      <c r="H10" s="29">
        <v>6</v>
      </c>
      <c r="I10" s="50" t="s">
        <v>52</v>
      </c>
      <c r="J10" s="51"/>
      <c r="K10" s="5">
        <v>940</v>
      </c>
      <c r="M10" s="29">
        <v>6</v>
      </c>
      <c r="N10" s="50" t="s">
        <v>52</v>
      </c>
      <c r="O10" s="51"/>
      <c r="P10" s="5"/>
    </row>
    <row r="12" spans="2:60" s="12" customFormat="1" x14ac:dyDescent="0.25">
      <c r="C12" s="10" t="s">
        <v>10</v>
      </c>
      <c r="D12" s="16" t="s">
        <v>17</v>
      </c>
      <c r="E12" s="5">
        <f>COUNT(E5:E10)</f>
        <v>6</v>
      </c>
      <c r="F12" s="5">
        <f>COUNT(F5:F10)</f>
        <v>5</v>
      </c>
      <c r="I12" s="10" t="s">
        <v>10</v>
      </c>
      <c r="J12" s="16" t="s">
        <v>17</v>
      </c>
      <c r="K12" s="5">
        <f>COUNT(K5:K10)</f>
        <v>6</v>
      </c>
      <c r="N12" s="10" t="s">
        <v>10</v>
      </c>
      <c r="O12" s="16" t="s">
        <v>17</v>
      </c>
      <c r="P12" s="5">
        <f>COUNT(P5:P10)</f>
        <v>2</v>
      </c>
      <c r="BA12"/>
      <c r="BB12"/>
      <c r="BC12"/>
      <c r="BD12"/>
      <c r="BE12"/>
      <c r="BF12"/>
      <c r="BG12"/>
      <c r="BH12"/>
    </row>
    <row r="13" spans="2:60" s="12" customFormat="1" x14ac:dyDescent="0.25">
      <c r="C13" s="10" t="s">
        <v>18</v>
      </c>
      <c r="D13" s="16" t="s">
        <v>19</v>
      </c>
      <c r="E13" s="5">
        <f>AVERAGE(E5:E10)</f>
        <v>603.57499999999993</v>
      </c>
      <c r="F13" s="5">
        <f>AVERAGE(F5:F10)</f>
        <v>536.29</v>
      </c>
      <c r="I13" s="10" t="s">
        <v>18</v>
      </c>
      <c r="J13" s="16" t="s">
        <v>19</v>
      </c>
      <c r="K13" s="5">
        <f>AVERAGE(K5:K10)</f>
        <v>588.57499999999993</v>
      </c>
      <c r="N13" s="10" t="s">
        <v>18</v>
      </c>
      <c r="O13" s="16" t="s">
        <v>19</v>
      </c>
      <c r="P13" s="5">
        <f>AVERAGE(P5:P10)</f>
        <v>105</v>
      </c>
      <c r="BA13"/>
      <c r="BB13"/>
      <c r="BC13"/>
      <c r="BD13"/>
      <c r="BE13"/>
      <c r="BF13"/>
      <c r="BG13"/>
      <c r="BH13"/>
    </row>
    <row r="14" spans="2:60" s="12" customFormat="1" x14ac:dyDescent="0.25">
      <c r="C14" s="10" t="s">
        <v>20</v>
      </c>
      <c r="D14" s="16" t="s">
        <v>21</v>
      </c>
      <c r="E14" s="5">
        <f>STDEV(E5:E10)</f>
        <v>193.01056901112963</v>
      </c>
      <c r="F14" s="5">
        <f>STDEV(F5:F10)</f>
        <v>112.30233969067619</v>
      </c>
      <c r="I14" s="10" t="s">
        <v>20</v>
      </c>
      <c r="J14" s="16" t="s">
        <v>21</v>
      </c>
      <c r="K14" s="5">
        <f>STDEV(K5:K10)</f>
        <v>205.08968708835661</v>
      </c>
      <c r="N14" s="10" t="s">
        <v>20</v>
      </c>
      <c r="O14" s="16" t="s">
        <v>21</v>
      </c>
      <c r="P14" s="5">
        <f>STDEV(P5:P10)</f>
        <v>0</v>
      </c>
      <c r="BA14"/>
      <c r="BB14"/>
      <c r="BC14"/>
      <c r="BD14"/>
      <c r="BE14"/>
      <c r="BF14"/>
      <c r="BG14"/>
      <c r="BH14"/>
    </row>
    <row r="16" spans="2:60" s="12" customFormat="1" x14ac:dyDescent="0.25">
      <c r="C16" s="10" t="s">
        <v>22</v>
      </c>
      <c r="D16" s="16" t="s">
        <v>23</v>
      </c>
      <c r="E16" s="17">
        <f>E10</f>
        <v>940</v>
      </c>
      <c r="F16" s="17">
        <f>F9</f>
        <v>700</v>
      </c>
      <c r="I16" s="10" t="s">
        <v>22</v>
      </c>
      <c r="J16" s="16" t="s">
        <v>23</v>
      </c>
      <c r="K16" s="17">
        <f>K10</f>
        <v>940</v>
      </c>
      <c r="N16" s="10" t="s">
        <v>22</v>
      </c>
      <c r="O16" s="16" t="s">
        <v>23</v>
      </c>
      <c r="P16" s="17">
        <f>P7</f>
        <v>105</v>
      </c>
      <c r="BA16"/>
      <c r="BB16"/>
      <c r="BC16"/>
      <c r="BD16"/>
      <c r="BE16"/>
      <c r="BF16"/>
      <c r="BG16"/>
      <c r="BH16"/>
    </row>
    <row r="17" spans="3:60" s="12" customFormat="1" x14ac:dyDescent="0.25">
      <c r="E17"/>
      <c r="F17"/>
      <c r="K17"/>
      <c r="P17"/>
      <c r="BA17"/>
      <c r="BB17"/>
      <c r="BC17"/>
      <c r="BD17"/>
      <c r="BE17"/>
      <c r="BF17"/>
      <c r="BG17"/>
      <c r="BH17"/>
    </row>
    <row r="18" spans="3:60" s="12" customFormat="1" x14ac:dyDescent="0.25">
      <c r="C18" s="10" t="s">
        <v>24</v>
      </c>
      <c r="D18" s="16" t="s">
        <v>25</v>
      </c>
      <c r="E18" s="5">
        <f>(E16-E13)</f>
        <v>336.42500000000007</v>
      </c>
      <c r="F18" s="5">
        <f>(F16-F13)</f>
        <v>163.71000000000004</v>
      </c>
      <c r="I18" s="10" t="s">
        <v>24</v>
      </c>
      <c r="J18" s="16" t="s">
        <v>25</v>
      </c>
      <c r="K18" s="5">
        <f>(K16-K13)</f>
        <v>351.42500000000007</v>
      </c>
      <c r="N18" s="10" t="s">
        <v>24</v>
      </c>
      <c r="O18" s="16" t="s">
        <v>25</v>
      </c>
      <c r="P18" s="5">
        <f>(P16-P13)</f>
        <v>0</v>
      </c>
      <c r="BA18"/>
      <c r="BB18"/>
      <c r="BC18"/>
      <c r="BD18"/>
      <c r="BE18"/>
      <c r="BF18"/>
      <c r="BG18"/>
      <c r="BH18"/>
    </row>
    <row r="19" spans="3:60" s="12" customFormat="1" x14ac:dyDescent="0.25">
      <c r="C19" s="10" t="s">
        <v>26</v>
      </c>
      <c r="D19" s="16" t="s">
        <v>27</v>
      </c>
      <c r="E19" s="18">
        <f>E18/E14</f>
        <v>1.7430392632053258</v>
      </c>
      <c r="F19" s="18">
        <f>F18/F14</f>
        <v>1.4577612581440449</v>
      </c>
      <c r="I19" s="10" t="s">
        <v>26</v>
      </c>
      <c r="J19" s="16" t="s">
        <v>27</v>
      </c>
      <c r="K19" s="18">
        <f>K18/K14</f>
        <v>1.7135186317223223</v>
      </c>
      <c r="N19" s="10" t="s">
        <v>26</v>
      </c>
      <c r="O19" s="16" t="s">
        <v>27</v>
      </c>
      <c r="P19" s="18" t="e">
        <f>P18/P14</f>
        <v>#DIV/0!</v>
      </c>
      <c r="BA19"/>
      <c r="BB19"/>
      <c r="BC19"/>
      <c r="BD19"/>
      <c r="BE19"/>
      <c r="BF19"/>
      <c r="BG19"/>
      <c r="BH19"/>
    </row>
    <row r="20" spans="3:60" s="12" customFormat="1" x14ac:dyDescent="0.25">
      <c r="C20" s="10" t="s">
        <v>28</v>
      </c>
      <c r="D20" s="16" t="s">
        <v>29</v>
      </c>
      <c r="E20" s="19">
        <v>0.95909999999999995</v>
      </c>
      <c r="F20" s="19">
        <v>0.92789999999999995</v>
      </c>
      <c r="I20" s="10" t="s">
        <v>28</v>
      </c>
      <c r="J20" s="16" t="s">
        <v>29</v>
      </c>
      <c r="K20" s="19">
        <v>0.95730000000000004</v>
      </c>
      <c r="N20" s="10" t="s">
        <v>28</v>
      </c>
      <c r="O20" s="16" t="s">
        <v>29</v>
      </c>
      <c r="P20" s="19"/>
      <c r="BA20"/>
      <c r="BB20"/>
      <c r="BC20"/>
      <c r="BD20"/>
      <c r="BE20"/>
      <c r="BF20"/>
      <c r="BG20"/>
      <c r="BH20"/>
    </row>
    <row r="21" spans="3:60" s="12" customFormat="1" x14ac:dyDescent="0.25">
      <c r="C21" s="10"/>
      <c r="D21" s="16" t="s">
        <v>30</v>
      </c>
      <c r="E21" s="19">
        <f>1-E20</f>
        <v>4.0900000000000047E-2</v>
      </c>
      <c r="F21" s="19">
        <f>1-F20</f>
        <v>7.2100000000000053E-2</v>
      </c>
      <c r="I21" s="10"/>
      <c r="J21" s="16" t="s">
        <v>30</v>
      </c>
      <c r="K21" s="19">
        <f>1-K20</f>
        <v>4.269999999999996E-2</v>
      </c>
      <c r="N21" s="10"/>
      <c r="O21" s="16" t="s">
        <v>30</v>
      </c>
      <c r="P21" s="19"/>
      <c r="BA21"/>
      <c r="BB21"/>
      <c r="BC21"/>
      <c r="BD21"/>
      <c r="BE21"/>
      <c r="BF21"/>
      <c r="BG21"/>
      <c r="BH21"/>
    </row>
    <row r="22" spans="3:60" s="12" customFormat="1" x14ac:dyDescent="0.25">
      <c r="C22" s="10"/>
      <c r="D22" s="16" t="s">
        <v>31</v>
      </c>
      <c r="E22" s="19">
        <f>E21*2</f>
        <v>8.1800000000000095E-2</v>
      </c>
      <c r="F22" s="19">
        <f>F21*2</f>
        <v>0.14420000000000011</v>
      </c>
      <c r="I22" s="10"/>
      <c r="J22" s="16" t="s">
        <v>31</v>
      </c>
      <c r="K22" s="19">
        <f>K21*2</f>
        <v>8.539999999999992E-2</v>
      </c>
      <c r="N22" s="10"/>
      <c r="O22" s="16" t="s">
        <v>31</v>
      </c>
      <c r="P22" s="19"/>
      <c r="BA22"/>
      <c r="BB22"/>
      <c r="BC22"/>
      <c r="BD22"/>
      <c r="BE22"/>
      <c r="BF22"/>
      <c r="BG22"/>
      <c r="BH22"/>
    </row>
    <row r="23" spans="3:60" s="12" customFormat="1" x14ac:dyDescent="0.25">
      <c r="C23" s="10" t="s">
        <v>32</v>
      </c>
      <c r="D23" s="16" t="s">
        <v>33</v>
      </c>
      <c r="E23" s="20">
        <f>E22*E12</f>
        <v>0.49080000000000057</v>
      </c>
      <c r="F23" s="19">
        <f>F22*F12</f>
        <v>0.72100000000000053</v>
      </c>
      <c r="I23" s="10" t="s">
        <v>32</v>
      </c>
      <c r="J23" s="16" t="s">
        <v>33</v>
      </c>
      <c r="K23" s="21">
        <f>K22*K12</f>
        <v>0.51239999999999952</v>
      </c>
      <c r="N23" s="10" t="s">
        <v>32</v>
      </c>
      <c r="O23" s="16" t="s">
        <v>33</v>
      </c>
      <c r="P23" s="19"/>
      <c r="BA23"/>
      <c r="BB23"/>
      <c r="BC23"/>
      <c r="BD23"/>
      <c r="BE23"/>
      <c r="BF23"/>
      <c r="BG23"/>
      <c r="BH23"/>
    </row>
  </sheetData>
  <mergeCells count="21">
    <mergeCell ref="C10:D10"/>
    <mergeCell ref="I10:J10"/>
    <mergeCell ref="N10:O10"/>
    <mergeCell ref="C8:D8"/>
    <mergeCell ref="I8:J8"/>
    <mergeCell ref="N8:O8"/>
    <mergeCell ref="C9:D9"/>
    <mergeCell ref="I9:J9"/>
    <mergeCell ref="N9:O9"/>
    <mergeCell ref="C6:D6"/>
    <mergeCell ref="I6:J6"/>
    <mergeCell ref="N6:O6"/>
    <mergeCell ref="C7:D7"/>
    <mergeCell ref="I7:J7"/>
    <mergeCell ref="N7:O7"/>
    <mergeCell ref="B4:D4"/>
    <mergeCell ref="H4:J4"/>
    <mergeCell ref="M4:O4"/>
    <mergeCell ref="C5:D5"/>
    <mergeCell ref="I5:J5"/>
    <mergeCell ref="N5:O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99A6C-5F3C-4B94-A054-94A820AB78E4}">
  <dimension ref="A2:BE37"/>
  <sheetViews>
    <sheetView workbookViewId="0">
      <selection activeCell="F38" sqref="F38"/>
    </sheetView>
  </sheetViews>
  <sheetFormatPr baseColWidth="10" defaultRowHeight="15" x14ac:dyDescent="0.25"/>
  <cols>
    <col min="1" max="1" width="11.42578125" style="12"/>
    <col min="2" max="2" width="3.140625" style="12" customWidth="1"/>
    <col min="3" max="3" width="25.85546875" style="12" customWidth="1"/>
    <col min="4" max="4" width="11.5703125" style="12" customWidth="1"/>
    <col min="5" max="7" width="11.42578125" style="12"/>
    <col min="8" max="8" width="5.140625" style="12" customWidth="1"/>
    <col min="9" max="9" width="24.28515625" style="12" customWidth="1"/>
    <col min="10" max="13" width="11.42578125" style="12"/>
    <col min="14" max="14" width="4.7109375" style="12" customWidth="1"/>
    <col min="15" max="15" width="27" style="12" customWidth="1"/>
    <col min="16" max="50" width="11.42578125" style="12"/>
  </cols>
  <sheetData>
    <row r="2" spans="2:57" ht="21" customHeight="1" x14ac:dyDescent="0.25">
      <c r="B2" s="8" t="s">
        <v>96</v>
      </c>
      <c r="C2" s="8"/>
      <c r="D2" s="8"/>
      <c r="E2" s="9"/>
      <c r="F2" s="9"/>
      <c r="H2" s="8" t="s">
        <v>97</v>
      </c>
      <c r="I2" s="8"/>
      <c r="J2" s="8"/>
      <c r="K2" s="9"/>
      <c r="L2" s="9"/>
      <c r="N2" s="8" t="s">
        <v>98</v>
      </c>
      <c r="O2" s="8"/>
      <c r="P2" s="8"/>
      <c r="Q2" s="9"/>
    </row>
    <row r="3" spans="2:57" ht="9" customHeight="1" x14ac:dyDescent="0.25"/>
    <row r="4" spans="2:57" ht="30" x14ac:dyDescent="0.25">
      <c r="B4" s="47" t="s">
        <v>2</v>
      </c>
      <c r="C4" s="48"/>
      <c r="D4" s="49"/>
      <c r="E4" s="2" t="s">
        <v>8</v>
      </c>
      <c r="F4" s="2" t="s">
        <v>9</v>
      </c>
      <c r="H4" s="47" t="s">
        <v>2</v>
      </c>
      <c r="I4" s="48"/>
      <c r="J4" s="49"/>
      <c r="K4" s="2" t="s">
        <v>8</v>
      </c>
      <c r="L4" s="2" t="s">
        <v>9</v>
      </c>
      <c r="N4" s="47" t="s">
        <v>2</v>
      </c>
      <c r="O4" s="48"/>
      <c r="P4" s="49"/>
      <c r="Q4" s="2" t="s">
        <v>8</v>
      </c>
    </row>
    <row r="5" spans="2:57" x14ac:dyDescent="0.25">
      <c r="B5" s="29">
        <v>1</v>
      </c>
      <c r="C5" s="50" t="s">
        <v>84</v>
      </c>
      <c r="D5" s="51"/>
      <c r="E5" s="5">
        <v>414.85</v>
      </c>
      <c r="F5" s="5">
        <f>E5</f>
        <v>414.85</v>
      </c>
      <c r="H5" s="29">
        <v>1</v>
      </c>
      <c r="I5" s="50" t="s">
        <v>84</v>
      </c>
      <c r="J5" s="51"/>
      <c r="K5" s="5">
        <v>414.85</v>
      </c>
      <c r="L5" s="5">
        <f>K5</f>
        <v>414.85</v>
      </c>
      <c r="N5" s="29">
        <v>1</v>
      </c>
      <c r="O5" s="50" t="s">
        <v>84</v>
      </c>
      <c r="P5" s="51"/>
      <c r="Q5" s="5"/>
    </row>
    <row r="6" spans="2:57" x14ac:dyDescent="0.25">
      <c r="B6" s="29">
        <v>2</v>
      </c>
      <c r="C6" s="50" t="s">
        <v>7</v>
      </c>
      <c r="D6" s="51"/>
      <c r="E6" s="5">
        <v>485</v>
      </c>
      <c r="F6" s="5">
        <v>485</v>
      </c>
      <c r="H6" s="29">
        <v>2</v>
      </c>
      <c r="I6" s="50" t="s">
        <v>7</v>
      </c>
      <c r="J6" s="51"/>
      <c r="K6" s="5">
        <v>440</v>
      </c>
      <c r="L6" s="5">
        <v>440</v>
      </c>
      <c r="N6" s="29">
        <v>2</v>
      </c>
      <c r="O6" s="50" t="s">
        <v>7</v>
      </c>
      <c r="P6" s="51"/>
      <c r="Q6" s="5">
        <v>105</v>
      </c>
    </row>
    <row r="7" spans="2:57" x14ac:dyDescent="0.25">
      <c r="B7" s="29">
        <v>3</v>
      </c>
      <c r="C7" s="50" t="s">
        <v>6</v>
      </c>
      <c r="D7" s="51"/>
      <c r="E7" s="5">
        <v>485</v>
      </c>
      <c r="F7" s="5">
        <v>485</v>
      </c>
      <c r="H7" s="29">
        <v>3</v>
      </c>
      <c r="I7" s="50" t="s">
        <v>6</v>
      </c>
      <c r="J7" s="51"/>
      <c r="K7" s="5">
        <v>440</v>
      </c>
      <c r="L7" s="5">
        <v>440</v>
      </c>
      <c r="N7" s="29">
        <v>3</v>
      </c>
      <c r="O7" s="50" t="s">
        <v>6</v>
      </c>
      <c r="P7" s="51"/>
      <c r="Q7" s="5">
        <v>105</v>
      </c>
    </row>
    <row r="8" spans="2:57" x14ac:dyDescent="0.25">
      <c r="B8" s="29">
        <v>4</v>
      </c>
      <c r="C8" s="50"/>
      <c r="D8" s="51"/>
      <c r="E8" s="5">
        <v>596.6</v>
      </c>
      <c r="F8" s="5">
        <v>596.6</v>
      </c>
      <c r="H8" s="29">
        <v>4</v>
      </c>
      <c r="I8" s="50"/>
      <c r="J8" s="51"/>
      <c r="K8" s="5">
        <v>596.6</v>
      </c>
      <c r="L8" s="5">
        <v>596.6</v>
      </c>
      <c r="N8" s="29">
        <v>4</v>
      </c>
      <c r="O8" s="50"/>
      <c r="P8" s="51"/>
      <c r="Q8" s="5"/>
    </row>
    <row r="9" spans="2:57" x14ac:dyDescent="0.25">
      <c r="B9" s="29">
        <v>5</v>
      </c>
      <c r="C9" s="50" t="s">
        <v>51</v>
      </c>
      <c r="D9" s="51"/>
      <c r="E9" s="5">
        <v>700</v>
      </c>
      <c r="F9" s="5">
        <v>700</v>
      </c>
      <c r="H9" s="29">
        <v>5</v>
      </c>
      <c r="I9" s="50" t="s">
        <v>51</v>
      </c>
      <c r="J9" s="51"/>
      <c r="K9" s="5">
        <v>700</v>
      </c>
      <c r="L9" s="5">
        <v>700</v>
      </c>
      <c r="N9" s="29">
        <v>5</v>
      </c>
      <c r="O9" s="50" t="s">
        <v>51</v>
      </c>
      <c r="P9" s="51"/>
      <c r="Q9" s="5"/>
    </row>
    <row r="10" spans="2:57" x14ac:dyDescent="0.25">
      <c r="B10" s="29">
        <v>6</v>
      </c>
      <c r="C10" s="50" t="s">
        <v>52</v>
      </c>
      <c r="D10" s="51"/>
      <c r="E10" s="15">
        <v>940</v>
      </c>
      <c r="F10" s="25"/>
      <c r="H10" s="29">
        <v>6</v>
      </c>
      <c r="I10" s="50" t="s">
        <v>52</v>
      </c>
      <c r="J10" s="51"/>
      <c r="K10" s="15">
        <v>940</v>
      </c>
      <c r="L10" s="25"/>
      <c r="N10" s="29">
        <v>6</v>
      </c>
      <c r="O10" s="50" t="s">
        <v>52</v>
      </c>
      <c r="P10" s="51"/>
      <c r="Q10" s="5"/>
    </row>
    <row r="12" spans="2:57" s="12" customFormat="1" x14ac:dyDescent="0.25">
      <c r="C12" s="10" t="s">
        <v>10</v>
      </c>
      <c r="D12" s="16" t="s">
        <v>17</v>
      </c>
      <c r="E12" s="5">
        <f>COUNT(E5:E10)</f>
        <v>6</v>
      </c>
      <c r="F12" s="5">
        <f>COUNT(F5:F10)</f>
        <v>5</v>
      </c>
      <c r="I12" s="10" t="s">
        <v>10</v>
      </c>
      <c r="J12" s="16" t="s">
        <v>17</v>
      </c>
      <c r="K12" s="5">
        <f>COUNT(K5:K10)</f>
        <v>6</v>
      </c>
      <c r="L12" s="5">
        <f>COUNT(L5:L10)</f>
        <v>5</v>
      </c>
      <c r="O12" s="10" t="s">
        <v>10</v>
      </c>
      <c r="P12" s="16" t="s">
        <v>17</v>
      </c>
      <c r="Q12" s="5">
        <f>COUNT(Q5:Q10)</f>
        <v>2</v>
      </c>
      <c r="AY12"/>
      <c r="AZ12"/>
      <c r="BA12"/>
      <c r="BB12"/>
      <c r="BC12"/>
      <c r="BD12"/>
      <c r="BE12"/>
    </row>
    <row r="13" spans="2:57" s="12" customFormat="1" x14ac:dyDescent="0.25">
      <c r="C13" s="10" t="s">
        <v>18</v>
      </c>
      <c r="D13" s="16" t="s">
        <v>19</v>
      </c>
      <c r="E13" s="5">
        <f>AVERAGE(E5:E10)</f>
        <v>603.57499999999993</v>
      </c>
      <c r="F13" s="5">
        <f>AVERAGE(F5:F10)</f>
        <v>536.29</v>
      </c>
      <c r="I13" s="10" t="s">
        <v>18</v>
      </c>
      <c r="J13" s="16" t="s">
        <v>19</v>
      </c>
      <c r="K13" s="5">
        <f>AVERAGE(K5:K10)</f>
        <v>588.57499999999993</v>
      </c>
      <c r="L13" s="5">
        <f>AVERAGE(L5:L10)</f>
        <v>518.29</v>
      </c>
      <c r="O13" s="10" t="s">
        <v>18</v>
      </c>
      <c r="P13" s="16" t="s">
        <v>19</v>
      </c>
      <c r="Q13" s="5">
        <f>AVERAGE(Q5:Q10)</f>
        <v>105</v>
      </c>
      <c r="AY13"/>
      <c r="AZ13"/>
      <c r="BA13"/>
      <c r="BB13"/>
      <c r="BC13"/>
      <c r="BD13"/>
      <c r="BE13"/>
    </row>
    <row r="14" spans="2:57" s="12" customFormat="1" x14ac:dyDescent="0.25">
      <c r="C14" s="10" t="s">
        <v>20</v>
      </c>
      <c r="D14" s="16" t="s">
        <v>21</v>
      </c>
      <c r="E14" s="5">
        <f>STDEV(E5:E10)</f>
        <v>193.01056901112963</v>
      </c>
      <c r="F14" s="5">
        <f>STDEV(F5:F10)</f>
        <v>112.30233969067619</v>
      </c>
      <c r="I14" s="10" t="s">
        <v>20</v>
      </c>
      <c r="J14" s="16" t="s">
        <v>21</v>
      </c>
      <c r="K14" s="5">
        <f>STDEV(K5:K10)</f>
        <v>205.08968708835661</v>
      </c>
      <c r="L14" s="5">
        <f>STDEV(L5:L10)</f>
        <v>124.60885000673136</v>
      </c>
      <c r="O14" s="10" t="s">
        <v>20</v>
      </c>
      <c r="P14" s="16" t="s">
        <v>21</v>
      </c>
      <c r="Q14" s="5">
        <f>STDEV(Q5:Q10)</f>
        <v>0</v>
      </c>
      <c r="AY14"/>
      <c r="AZ14"/>
      <c r="BA14"/>
      <c r="BB14"/>
      <c r="BC14"/>
      <c r="BD14"/>
      <c r="BE14"/>
    </row>
    <row r="15" spans="2:57" s="12" customFormat="1" ht="25.5" customHeight="1" x14ac:dyDescent="0.25">
      <c r="AY15"/>
      <c r="AZ15"/>
      <c r="BA15"/>
      <c r="BB15"/>
      <c r="BC15"/>
      <c r="BD15"/>
      <c r="BE15"/>
    </row>
    <row r="16" spans="2:57" s="12" customFormat="1" x14ac:dyDescent="0.25">
      <c r="C16" s="10" t="s">
        <v>85</v>
      </c>
      <c r="D16" s="16" t="s">
        <v>34</v>
      </c>
      <c r="E16" s="22">
        <v>1.61</v>
      </c>
      <c r="I16" s="10" t="s">
        <v>85</v>
      </c>
      <c r="J16" s="16" t="s">
        <v>34</v>
      </c>
      <c r="K16" s="22">
        <v>1.61</v>
      </c>
      <c r="O16" s="10" t="s">
        <v>99</v>
      </c>
      <c r="P16" s="16" t="s">
        <v>34</v>
      </c>
      <c r="Q16" s="22"/>
    </row>
    <row r="17" spans="3:57" s="12" customFormat="1" x14ac:dyDescent="0.25">
      <c r="C17" s="10" t="s">
        <v>86</v>
      </c>
      <c r="D17" s="16" t="s">
        <v>34</v>
      </c>
      <c r="E17" s="43"/>
      <c r="F17" s="22">
        <v>1.5089999999999999</v>
      </c>
      <c r="I17" s="10" t="s">
        <v>86</v>
      </c>
      <c r="J17" s="16" t="s">
        <v>34</v>
      </c>
      <c r="K17" s="43"/>
      <c r="L17" s="22">
        <v>1.5089999999999999</v>
      </c>
    </row>
    <row r="18" spans="3:57" s="12" customFormat="1" hidden="1" x14ac:dyDescent="0.25">
      <c r="C18" s="10" t="s">
        <v>87</v>
      </c>
      <c r="D18" s="16" t="s">
        <v>34</v>
      </c>
      <c r="E18" s="43"/>
      <c r="I18" s="10" t="s">
        <v>87</v>
      </c>
      <c r="J18" s="16" t="s">
        <v>34</v>
      </c>
      <c r="K18" s="43"/>
      <c r="O18" s="10" t="s">
        <v>87</v>
      </c>
      <c r="P18" s="16" t="s">
        <v>34</v>
      </c>
      <c r="Q18" s="43"/>
    </row>
    <row r="19" spans="3:57" s="12" customFormat="1" hidden="1" x14ac:dyDescent="0.25">
      <c r="C19" s="10" t="s">
        <v>35</v>
      </c>
      <c r="D19" s="16" t="s">
        <v>34</v>
      </c>
      <c r="E19" s="43"/>
      <c r="I19" s="10" t="s">
        <v>35</v>
      </c>
      <c r="J19" s="16" t="s">
        <v>34</v>
      </c>
      <c r="K19" s="43"/>
      <c r="O19" s="10" t="s">
        <v>35</v>
      </c>
      <c r="P19" s="16" t="s">
        <v>34</v>
      </c>
      <c r="Q19" s="43"/>
    </row>
    <row r="20" spans="3:57" s="12" customFormat="1" hidden="1" x14ac:dyDescent="0.25">
      <c r="C20" s="10" t="s">
        <v>88</v>
      </c>
      <c r="D20" s="44"/>
      <c r="E20" s="43"/>
      <c r="I20" s="10" t="s">
        <v>88</v>
      </c>
      <c r="J20" s="44"/>
      <c r="K20" s="43"/>
      <c r="O20" s="10" t="s">
        <v>88</v>
      </c>
      <c r="P20" s="44"/>
      <c r="Q20" s="43"/>
    </row>
    <row r="21" spans="3:57" s="12" customFormat="1" hidden="1" x14ac:dyDescent="0.25">
      <c r="C21" s="10" t="s">
        <v>89</v>
      </c>
      <c r="D21" s="44"/>
      <c r="E21" s="43"/>
      <c r="I21" s="10" t="s">
        <v>89</v>
      </c>
      <c r="J21" s="44"/>
      <c r="K21" s="43"/>
      <c r="O21" s="10" t="s">
        <v>89</v>
      </c>
      <c r="P21" s="44"/>
      <c r="Q21" s="43"/>
    </row>
    <row r="22" spans="3:57" s="12" customFormat="1" hidden="1" x14ac:dyDescent="0.25">
      <c r="C22" s="10" t="s">
        <v>90</v>
      </c>
      <c r="D22" s="44"/>
      <c r="E22" s="43"/>
      <c r="I22" s="10" t="s">
        <v>90</v>
      </c>
      <c r="J22" s="44"/>
      <c r="K22" s="43"/>
      <c r="O22" s="10" t="s">
        <v>90</v>
      </c>
      <c r="P22" s="44"/>
      <c r="Q22" s="43"/>
    </row>
    <row r="23" spans="3:57" s="12" customFormat="1" hidden="1" x14ac:dyDescent="0.25">
      <c r="C23" s="10" t="s">
        <v>91</v>
      </c>
      <c r="D23" s="44"/>
      <c r="E23" s="43"/>
      <c r="I23" s="10" t="s">
        <v>91</v>
      </c>
      <c r="J23" s="44"/>
      <c r="K23" s="43"/>
      <c r="O23" s="10" t="s">
        <v>91</v>
      </c>
      <c r="P23" s="44"/>
      <c r="Q23" s="43"/>
    </row>
    <row r="24" spans="3:57" s="12" customFormat="1" ht="9" customHeight="1" x14ac:dyDescent="0.25">
      <c r="E24" s="7"/>
      <c r="F24" s="7"/>
      <c r="K24" s="7"/>
      <c r="L24" s="7"/>
      <c r="Q24" s="7"/>
    </row>
    <row r="25" spans="3:57" s="12" customFormat="1" ht="30" x14ac:dyDescent="0.25">
      <c r="C25" s="23" t="s">
        <v>36</v>
      </c>
      <c r="D25" s="24" t="s">
        <v>37</v>
      </c>
      <c r="E25" s="5">
        <f>E16*E$14</f>
        <v>310.74701610791874</v>
      </c>
      <c r="F25" s="5">
        <f>F17*F$14</f>
        <v>169.46423059323035</v>
      </c>
      <c r="I25" s="23" t="s">
        <v>36</v>
      </c>
      <c r="J25" s="24" t="s">
        <v>37</v>
      </c>
      <c r="K25" s="5">
        <f>K16*K$14</f>
        <v>330.19439621225416</v>
      </c>
      <c r="L25" s="5">
        <f>L17*L$14</f>
        <v>188.0347546601576</v>
      </c>
      <c r="O25" s="23" t="s">
        <v>36</v>
      </c>
      <c r="P25" s="24" t="s">
        <v>37</v>
      </c>
      <c r="Q25" s="5">
        <f>Q16*Q$14</f>
        <v>0</v>
      </c>
    </row>
    <row r="26" spans="3:57" s="12" customFormat="1" x14ac:dyDescent="0.25">
      <c r="C26" s="10" t="s">
        <v>38</v>
      </c>
      <c r="D26" s="16" t="s">
        <v>39</v>
      </c>
      <c r="E26" s="17">
        <f>E10</f>
        <v>940</v>
      </c>
      <c r="F26" s="17">
        <f>F9</f>
        <v>700</v>
      </c>
      <c r="I26" s="10" t="s">
        <v>38</v>
      </c>
      <c r="J26" s="16" t="s">
        <v>39</v>
      </c>
      <c r="K26" s="17">
        <f>K10</f>
        <v>940</v>
      </c>
      <c r="L26" s="17">
        <f>L9</f>
        <v>700</v>
      </c>
      <c r="O26" s="10" t="s">
        <v>38</v>
      </c>
      <c r="P26" s="16" t="s">
        <v>39</v>
      </c>
      <c r="Q26" s="17">
        <f>Q10</f>
        <v>0</v>
      </c>
    </row>
    <row r="27" spans="3:57" s="12" customFormat="1" ht="30" x14ac:dyDescent="0.25">
      <c r="C27" s="23" t="s">
        <v>40</v>
      </c>
      <c r="D27" s="24" t="s">
        <v>41</v>
      </c>
      <c r="E27" s="15">
        <f>ABS(E26-E$13)</f>
        <v>336.42500000000007</v>
      </c>
      <c r="F27" s="25">
        <f>ABS(F26-F$13)</f>
        <v>163.71000000000004</v>
      </c>
      <c r="I27" s="23" t="s">
        <v>40</v>
      </c>
      <c r="J27" s="24" t="s">
        <v>41</v>
      </c>
      <c r="K27" s="15">
        <f>ABS(K26-K$13)</f>
        <v>351.42500000000007</v>
      </c>
      <c r="L27" s="25">
        <f>ABS(L26-L$13)</f>
        <v>181.71000000000004</v>
      </c>
      <c r="O27" s="23" t="s">
        <v>40</v>
      </c>
      <c r="P27" s="24" t="s">
        <v>41</v>
      </c>
      <c r="Q27" s="25"/>
    </row>
    <row r="28" spans="3:57" s="12" customFormat="1" ht="26.25" customHeight="1" x14ac:dyDescent="0.25"/>
    <row r="29" spans="3:57" s="12" customFormat="1" x14ac:dyDescent="0.25">
      <c r="C29" s="10" t="s">
        <v>92</v>
      </c>
      <c r="D29" s="16" t="s">
        <v>42</v>
      </c>
      <c r="E29" s="22">
        <v>1.2989999999999999</v>
      </c>
      <c r="I29" s="10" t="s">
        <v>92</v>
      </c>
      <c r="J29" s="16" t="s">
        <v>42</v>
      </c>
      <c r="K29" s="22">
        <v>1.2989999999999999</v>
      </c>
      <c r="O29" s="10" t="s">
        <v>100</v>
      </c>
      <c r="P29" s="16" t="s">
        <v>42</v>
      </c>
      <c r="Q29" s="22"/>
    </row>
    <row r="30" spans="3:57" s="12" customFormat="1" ht="7.5" customHeight="1" x14ac:dyDescent="0.25">
      <c r="AY30"/>
      <c r="AZ30"/>
      <c r="BA30"/>
      <c r="BB30"/>
      <c r="BC30"/>
      <c r="BD30"/>
      <c r="BE30"/>
    </row>
    <row r="31" spans="3:57" s="12" customFormat="1" ht="30" x14ac:dyDescent="0.25">
      <c r="C31" s="23" t="s">
        <v>36</v>
      </c>
      <c r="D31" s="24" t="s">
        <v>43</v>
      </c>
      <c r="E31" s="5">
        <f>E$29*E$14</f>
        <v>250.72072914545737</v>
      </c>
      <c r="I31" s="23" t="s">
        <v>36</v>
      </c>
      <c r="J31" s="24" t="s">
        <v>43</v>
      </c>
      <c r="K31" s="5">
        <f>K$29*K$14</f>
        <v>266.41150352777521</v>
      </c>
      <c r="O31" s="23" t="s">
        <v>36</v>
      </c>
      <c r="P31" s="24" t="s">
        <v>43</v>
      </c>
      <c r="Q31" s="5">
        <f>Q$29*Q$14</f>
        <v>0</v>
      </c>
      <c r="AY31"/>
      <c r="AZ31"/>
      <c r="BA31"/>
      <c r="BB31"/>
      <c r="BC31"/>
      <c r="BD31"/>
      <c r="BE31"/>
    </row>
    <row r="32" spans="3:57" s="12" customFormat="1" x14ac:dyDescent="0.25">
      <c r="C32" s="10" t="s">
        <v>38</v>
      </c>
      <c r="D32" s="16" t="s">
        <v>39</v>
      </c>
      <c r="E32" s="17">
        <f>E26</f>
        <v>940</v>
      </c>
      <c r="I32" s="10" t="s">
        <v>38</v>
      </c>
      <c r="J32" s="16" t="s">
        <v>39</v>
      </c>
      <c r="K32" s="17">
        <f>K26</f>
        <v>940</v>
      </c>
      <c r="O32" s="10" t="s">
        <v>38</v>
      </c>
      <c r="P32" s="16" t="s">
        <v>39</v>
      </c>
      <c r="Q32" s="17">
        <f>Q26</f>
        <v>0</v>
      </c>
      <c r="AY32"/>
      <c r="AZ32"/>
      <c r="BA32"/>
      <c r="BB32"/>
      <c r="BC32"/>
      <c r="BD32"/>
      <c r="BE32"/>
    </row>
    <row r="33" spans="3:57" s="12" customFormat="1" ht="30" x14ac:dyDescent="0.25">
      <c r="C33" s="23" t="s">
        <v>40</v>
      </c>
      <c r="D33" s="24" t="s">
        <v>41</v>
      </c>
      <c r="E33" s="15">
        <f>ABS(E32-E$13)</f>
        <v>336.42500000000007</v>
      </c>
      <c r="I33" s="23" t="s">
        <v>40</v>
      </c>
      <c r="J33" s="24" t="s">
        <v>41</v>
      </c>
      <c r="K33" s="15">
        <f>ABS(K32-K$13)</f>
        <v>351.42500000000007</v>
      </c>
      <c r="O33" s="23" t="s">
        <v>40</v>
      </c>
      <c r="P33" s="24" t="s">
        <v>41</v>
      </c>
      <c r="Q33" s="25"/>
      <c r="AY33"/>
      <c r="AZ33"/>
      <c r="BA33"/>
      <c r="BB33"/>
      <c r="BC33"/>
      <c r="BD33"/>
      <c r="BE33"/>
    </row>
    <row r="34" spans="3:57" s="12" customFormat="1" ht="8.25" customHeight="1" x14ac:dyDescent="0.25">
      <c r="AY34"/>
      <c r="AZ34"/>
      <c r="BA34"/>
      <c r="BB34"/>
      <c r="BC34"/>
      <c r="BD34"/>
      <c r="BE34"/>
    </row>
    <row r="35" spans="3:57" s="12" customFormat="1" ht="30" x14ac:dyDescent="0.25">
      <c r="C35" s="23" t="s">
        <v>36</v>
      </c>
      <c r="D35" s="24" t="s">
        <v>43</v>
      </c>
      <c r="E35" s="25">
        <f>E31</f>
        <v>250.72072914545737</v>
      </c>
      <c r="I35" s="23" t="s">
        <v>36</v>
      </c>
      <c r="J35" s="24" t="s">
        <v>43</v>
      </c>
      <c r="K35" s="25">
        <f>K31</f>
        <v>266.41150352777521</v>
      </c>
      <c r="O35" s="23" t="s">
        <v>36</v>
      </c>
      <c r="P35" s="24" t="s">
        <v>43</v>
      </c>
      <c r="Q35" s="25">
        <f>Q31</f>
        <v>0</v>
      </c>
      <c r="AY35"/>
      <c r="AZ35"/>
      <c r="BA35"/>
      <c r="BB35"/>
      <c r="BC35"/>
      <c r="BD35"/>
      <c r="BE35"/>
    </row>
    <row r="36" spans="3:57" s="12" customFormat="1" x14ac:dyDescent="0.25">
      <c r="C36" s="10" t="s">
        <v>38</v>
      </c>
      <c r="D36" s="16" t="s">
        <v>44</v>
      </c>
      <c r="E36" s="26">
        <f>E9</f>
        <v>700</v>
      </c>
      <c r="I36" s="10" t="s">
        <v>38</v>
      </c>
      <c r="J36" s="16" t="s">
        <v>44</v>
      </c>
      <c r="K36" s="26">
        <f>K9</f>
        <v>700</v>
      </c>
      <c r="O36" s="10" t="s">
        <v>38</v>
      </c>
      <c r="P36" s="16" t="s">
        <v>44</v>
      </c>
      <c r="Q36" s="26">
        <f>Q9</f>
        <v>0</v>
      </c>
      <c r="AY36"/>
      <c r="AZ36"/>
      <c r="BA36"/>
      <c r="BB36"/>
      <c r="BC36"/>
      <c r="BD36"/>
      <c r="BE36"/>
    </row>
    <row r="37" spans="3:57" s="12" customFormat="1" ht="30" x14ac:dyDescent="0.25">
      <c r="C37" s="23" t="s">
        <v>40</v>
      </c>
      <c r="D37" s="24" t="s">
        <v>45</v>
      </c>
      <c r="E37" s="27">
        <f>ABS(E36-E$13)</f>
        <v>96.425000000000068</v>
      </c>
      <c r="I37" s="23" t="s">
        <v>40</v>
      </c>
      <c r="J37" s="24" t="s">
        <v>45</v>
      </c>
      <c r="K37" s="27">
        <f>ABS(K36-K$13)</f>
        <v>111.42500000000007</v>
      </c>
      <c r="O37" s="23" t="s">
        <v>40</v>
      </c>
      <c r="P37" s="24" t="s">
        <v>45</v>
      </c>
      <c r="Q37" s="27"/>
      <c r="AY37"/>
      <c r="AZ37"/>
      <c r="BA37"/>
      <c r="BB37"/>
      <c r="BC37"/>
      <c r="BD37"/>
      <c r="BE37"/>
    </row>
  </sheetData>
  <mergeCells count="21">
    <mergeCell ref="O10:P10"/>
    <mergeCell ref="N4:P4"/>
    <mergeCell ref="O5:P5"/>
    <mergeCell ref="O6:P6"/>
    <mergeCell ref="O7:P7"/>
    <mergeCell ref="O8:P8"/>
    <mergeCell ref="O9:P9"/>
    <mergeCell ref="I10:J10"/>
    <mergeCell ref="H4:J4"/>
    <mergeCell ref="I5:J5"/>
    <mergeCell ref="I6:J6"/>
    <mergeCell ref="I7:J7"/>
    <mergeCell ref="I8:J8"/>
    <mergeCell ref="I9:J9"/>
    <mergeCell ref="C10:D10"/>
    <mergeCell ref="B4:D4"/>
    <mergeCell ref="C5:D5"/>
    <mergeCell ref="C6:D6"/>
    <mergeCell ref="C7:D7"/>
    <mergeCell ref="C8:D8"/>
    <mergeCell ref="C9:D9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7"/>
  <sheetViews>
    <sheetView workbookViewId="0">
      <selection activeCell="F38" sqref="F38"/>
    </sheetView>
  </sheetViews>
  <sheetFormatPr baseColWidth="10" defaultRowHeight="15" x14ac:dyDescent="0.25"/>
  <cols>
    <col min="2" max="2" width="4.28515625" customWidth="1"/>
    <col min="3" max="3" width="33.7109375" customWidth="1"/>
    <col min="4" max="4" width="10.5703125" customWidth="1"/>
    <col min="5" max="5" width="11.5703125" customWidth="1"/>
    <col min="6" max="6" width="10.28515625" customWidth="1"/>
  </cols>
  <sheetData>
    <row r="2" spans="2:10" ht="60" x14ac:dyDescent="0.25">
      <c r="B2" s="52" t="s">
        <v>53</v>
      </c>
      <c r="C2" s="53"/>
      <c r="D2" s="28" t="s">
        <v>47</v>
      </c>
      <c r="E2" s="28" t="s">
        <v>48</v>
      </c>
      <c r="F2" s="28" t="s">
        <v>49</v>
      </c>
    </row>
    <row r="3" spans="2:10" x14ac:dyDescent="0.25">
      <c r="B3" s="29">
        <v>1</v>
      </c>
      <c r="C3" s="6" t="s">
        <v>50</v>
      </c>
      <c r="D3" s="5">
        <v>414.85</v>
      </c>
      <c r="E3" s="5">
        <v>414.85</v>
      </c>
      <c r="F3" s="5"/>
    </row>
    <row r="4" spans="2:10" x14ac:dyDescent="0.25">
      <c r="B4" s="29">
        <v>2</v>
      </c>
      <c r="C4" s="6" t="s">
        <v>7</v>
      </c>
      <c r="D4" s="5">
        <v>485</v>
      </c>
      <c r="E4" s="5">
        <v>440</v>
      </c>
      <c r="F4" s="5">
        <v>105</v>
      </c>
    </row>
    <row r="5" spans="2:10" x14ac:dyDescent="0.25">
      <c r="B5" s="29">
        <v>3</v>
      </c>
      <c r="C5" s="3" t="s">
        <v>6</v>
      </c>
      <c r="D5" s="5">
        <v>485</v>
      </c>
      <c r="E5" s="5">
        <v>440</v>
      </c>
      <c r="F5" s="5">
        <v>105</v>
      </c>
    </row>
    <row r="6" spans="2:10" x14ac:dyDescent="0.25">
      <c r="B6" s="29">
        <v>4</v>
      </c>
      <c r="C6" s="3"/>
      <c r="D6" s="5">
        <v>596.6</v>
      </c>
      <c r="E6" s="5">
        <v>596.6</v>
      </c>
      <c r="F6" s="5"/>
    </row>
    <row r="7" spans="2:10" x14ac:dyDescent="0.25">
      <c r="B7" s="29">
        <v>5</v>
      </c>
      <c r="C7" s="3" t="s">
        <v>51</v>
      </c>
      <c r="D7" s="5">
        <v>700</v>
      </c>
      <c r="E7" s="5">
        <v>700</v>
      </c>
      <c r="F7" s="5"/>
    </row>
    <row r="8" spans="2:10" ht="18" customHeight="1" x14ac:dyDescent="0.25">
      <c r="B8" s="54" t="s">
        <v>46</v>
      </c>
      <c r="C8" s="55"/>
      <c r="D8" s="30">
        <f>AVERAGE(D3:D7)</f>
        <v>536.29</v>
      </c>
      <c r="E8" s="30">
        <f>AVERAGE(E3:E7)</f>
        <v>518.29</v>
      </c>
      <c r="F8" s="30">
        <f>AVERAGE(F3:F7)</f>
        <v>105</v>
      </c>
    </row>
    <row r="12" spans="2:10" x14ac:dyDescent="0.25">
      <c r="I12" s="32"/>
      <c r="J12" s="32"/>
    </row>
    <row r="17" spans="9:9" x14ac:dyDescent="0.25">
      <c r="I17" s="33"/>
    </row>
  </sheetData>
  <mergeCells count="2">
    <mergeCell ref="B2:C2"/>
    <mergeCell ref="B8:C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Gráfico 1</vt:lpstr>
      <vt:lpstr>Gráfico 2</vt:lpstr>
      <vt:lpstr>Cuadro 3. Muestra Inicial</vt:lpstr>
      <vt:lpstr>Cuadro 4. Test de Turkey</vt:lpstr>
      <vt:lpstr>Cuadro 5.Test de Chauvenet</vt:lpstr>
      <vt:lpstr>Cuadro 6. Test de Peirce</vt:lpstr>
      <vt:lpstr>Cuadro 7. Propuesta Tarifa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Rondan</dc:creator>
  <cp:lastModifiedBy>Josue Zavaleta</cp:lastModifiedBy>
  <dcterms:created xsi:type="dcterms:W3CDTF">2021-12-30T16:09:41Z</dcterms:created>
  <dcterms:modified xsi:type="dcterms:W3CDTF">2022-08-12T16:29:40Z</dcterms:modified>
</cp:coreProperties>
</file>