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Info\APM Terminals\CIERRE 2020\Factor X\Revision Factor X 2021 2025\Modelo Factor X\"/>
    </mc:Choice>
  </mc:AlternateContent>
  <xr:revisionPtr revIDLastSave="0" documentId="13_ncr:1_{B6839427-4F15-49F6-AE06-FB565F1CD288}" xr6:coauthVersionLast="44" xr6:coauthVersionMax="46" xr10:uidLastSave="{00000000-0000-0000-0000-000000000000}"/>
  <bookViews>
    <workbookView xWindow="-110" yWindow="-110" windowWidth="19420" windowHeight="10420" tabRatio="876" activeTab="2" xr2:uid="{06873B46-64C7-4283-82F4-6EB831375907}"/>
  </bookViews>
  <sheets>
    <sheet name="Índice" sheetId="45" r:id="rId1"/>
    <sheet name="Resultados &gt;&gt;&gt;" sheetId="21" r:id="rId2"/>
    <sheet name="Factor X" sheetId="22" r:id="rId3"/>
    <sheet name="Cálculo &gt;&gt;&gt;" sheetId="15" r:id="rId4"/>
    <sheet name="Supuestos" sheetId="5" r:id="rId5"/>
    <sheet name="Ingresos (APM)" sheetId="37" r:id="rId6"/>
    <sheet name="Gastos (APM)" sheetId="16" r:id="rId7"/>
    <sheet name="Cantidades de capital" sheetId="40" r:id="rId8"/>
    <sheet name="Precios de capital" sheetId="41" r:id="rId9"/>
    <sheet name="WACC" sheetId="10" r:id="rId10"/>
    <sheet name="Economía" sheetId="23" r:id="rId11"/>
    <sheet name="Insumos APM &gt;&gt;&gt;" sheetId="1" r:id="rId12"/>
    <sheet name="Costo de deuda" sheetId="44" r:id="rId13"/>
    <sheet name="Opex" sheetId="3" r:id="rId14"/>
    <sheet name="Capex" sheetId="42" r:id="rId15"/>
    <sheet name="Depreciación" sheetId="43" r:id="rId16"/>
    <sheet name="Ingresos" sheetId="36" r:id="rId17"/>
    <sheet name="Insumos macro &gt;&gt;&gt;" sheetId="24" r:id="rId18"/>
    <sheet name="Macro anual" sheetId="30" r:id="rId19"/>
    <sheet name="Macro mensual" sheetId="12" r:id="rId20"/>
  </sheets>
  <definedNames>
    <definedName name="CIQWBGuid" hidden="1">"5494322b-aaad-44f3-9c6a-f8a505caa920"</definedName>
    <definedName name="CIQWBInfo" hidden="1">"{ ""CIQVersion"":""9.45.614.5792""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44378.0083912037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R">Supuestos!$H$12</definedName>
    <definedName name="mil">Supuestos!$H$6</definedName>
    <definedName name="no_cero">Supuestos!$H$7</definedName>
    <definedName name="_xlnm.Print_Area" localSheetId="0">Índice!$A$1:$G$45</definedName>
    <definedName name="_xlnm.Print_Area" localSheetId="19">'Macro mensual'!$A$2:$K$372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0" i="41" l="1"/>
  <c r="F175" i="43"/>
  <c r="G175" i="43"/>
  <c r="H175" i="43"/>
  <c r="I175" i="43"/>
  <c r="J175" i="43"/>
  <c r="K175" i="43"/>
  <c r="L175" i="43"/>
  <c r="M175" i="43"/>
  <c r="N175" i="43"/>
  <c r="B4" i="12"/>
  <c r="G39" i="12"/>
  <c r="G38" i="12" s="1"/>
  <c r="G37" i="12" s="1"/>
  <c r="G36" i="12" s="1"/>
  <c r="G35" i="12" s="1"/>
  <c r="G34" i="12" s="1"/>
  <c r="G33" i="12" s="1"/>
  <c r="G32" i="12" s="1"/>
  <c r="G31" i="12" s="1"/>
  <c r="G30" i="12" s="1"/>
  <c r="G29" i="12" s="1"/>
  <c r="G28" i="12" s="1"/>
  <c r="G27" i="12" s="1"/>
  <c r="G26" i="12" s="1"/>
  <c r="G25" i="12" s="1"/>
  <c r="G24" i="12" s="1"/>
  <c r="G23" i="12" s="1"/>
  <c r="G22" i="12" s="1"/>
  <c r="G21" i="12" s="1"/>
  <c r="G20" i="12" s="1"/>
  <c r="G19" i="12" s="1"/>
  <c r="G18" i="12" s="1"/>
  <c r="G17" i="12" s="1"/>
  <c r="G16" i="12" s="1"/>
  <c r="G15" i="12" s="1"/>
  <c r="G14" i="12" s="1"/>
  <c r="G13" i="12" s="1"/>
  <c r="G12" i="12" s="1"/>
  <c r="G11" i="12" s="1"/>
  <c r="G10" i="12" s="1"/>
  <c r="G9" i="12" s="1"/>
  <c r="G8" i="12" s="1"/>
  <c r="G7" i="12" s="1"/>
  <c r="G6" i="12" s="1"/>
  <c r="G5" i="12" s="1"/>
  <c r="G4" i="12" s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G45" i="36"/>
  <c r="H45" i="36"/>
  <c r="I45" i="36"/>
  <c r="J45" i="36"/>
  <c r="K45" i="36"/>
  <c r="L45" i="36"/>
  <c r="M45" i="36"/>
  <c r="N45" i="36"/>
  <c r="O45" i="36"/>
  <c r="I49" i="36"/>
  <c r="I50" i="36"/>
  <c r="I55" i="36"/>
  <c r="I56" i="36"/>
  <c r="I57" i="36" s="1"/>
  <c r="J61" i="36"/>
  <c r="J62" i="36"/>
  <c r="J63" i="36"/>
  <c r="J67" i="36"/>
  <c r="J68" i="36"/>
  <c r="J69" i="36" s="1"/>
  <c r="G72" i="36"/>
  <c r="H72" i="36"/>
  <c r="I72" i="36"/>
  <c r="J72" i="36"/>
  <c r="K72" i="36"/>
  <c r="L72" i="36"/>
  <c r="M72" i="36"/>
  <c r="N72" i="36"/>
  <c r="O72" i="36"/>
  <c r="G73" i="36"/>
  <c r="H73" i="36"/>
  <c r="I73" i="36"/>
  <c r="J73" i="36"/>
  <c r="K73" i="36"/>
  <c r="L73" i="36"/>
  <c r="M73" i="36"/>
  <c r="N73" i="36"/>
  <c r="O73" i="36"/>
  <c r="G74" i="36"/>
  <c r="H74" i="36"/>
  <c r="I74" i="36"/>
  <c r="I107" i="36" s="1"/>
  <c r="J74" i="36"/>
  <c r="K74" i="36"/>
  <c r="L74" i="36"/>
  <c r="M74" i="36"/>
  <c r="N74" i="36"/>
  <c r="O74" i="36"/>
  <c r="G75" i="36"/>
  <c r="H75" i="36"/>
  <c r="H108" i="36" s="1"/>
  <c r="I75" i="36"/>
  <c r="J75" i="36"/>
  <c r="K75" i="36"/>
  <c r="L75" i="36"/>
  <c r="M75" i="36"/>
  <c r="N75" i="36"/>
  <c r="N108" i="36" s="1"/>
  <c r="O75" i="36"/>
  <c r="G76" i="36"/>
  <c r="G109" i="36" s="1"/>
  <c r="H76" i="36"/>
  <c r="I76" i="36"/>
  <c r="J76" i="36"/>
  <c r="K76" i="36"/>
  <c r="L76" i="36"/>
  <c r="M76" i="36"/>
  <c r="M109" i="36" s="1"/>
  <c r="N76" i="36"/>
  <c r="O76" i="36"/>
  <c r="O109" i="36" s="1"/>
  <c r="G77" i="36"/>
  <c r="H77" i="36"/>
  <c r="I77" i="36"/>
  <c r="J77" i="36"/>
  <c r="K77" i="36"/>
  <c r="L77" i="36"/>
  <c r="L110" i="36" s="1"/>
  <c r="M77" i="36"/>
  <c r="N77" i="36"/>
  <c r="N110" i="36" s="1"/>
  <c r="O77" i="36"/>
  <c r="G78" i="36"/>
  <c r="H78" i="36"/>
  <c r="I78" i="36"/>
  <c r="J78" i="36"/>
  <c r="K78" i="36"/>
  <c r="K111" i="36" s="1"/>
  <c r="L78" i="36"/>
  <c r="M78" i="36"/>
  <c r="M111" i="36" s="1"/>
  <c r="N78" i="36"/>
  <c r="O78" i="36"/>
  <c r="G79" i="36"/>
  <c r="H79" i="36"/>
  <c r="I79" i="36"/>
  <c r="J79" i="36"/>
  <c r="J112" i="36" s="1"/>
  <c r="K79" i="36"/>
  <c r="L79" i="36"/>
  <c r="M79" i="36"/>
  <c r="N79" i="36"/>
  <c r="O79" i="36"/>
  <c r="G80" i="36"/>
  <c r="H80" i="36"/>
  <c r="I80" i="36"/>
  <c r="I113" i="36" s="1"/>
  <c r="J80" i="36"/>
  <c r="K80" i="36"/>
  <c r="K113" i="36" s="1"/>
  <c r="L80" i="36"/>
  <c r="M80" i="36"/>
  <c r="N80" i="36"/>
  <c r="O80" i="36"/>
  <c r="G81" i="36"/>
  <c r="H81" i="36"/>
  <c r="H114" i="36" s="1"/>
  <c r="I81" i="36"/>
  <c r="J81" i="36"/>
  <c r="J114" i="36" s="1"/>
  <c r="K81" i="36"/>
  <c r="L81" i="36"/>
  <c r="M81" i="36"/>
  <c r="N81" i="36"/>
  <c r="O81" i="36"/>
  <c r="G82" i="36"/>
  <c r="G115" i="36" s="1"/>
  <c r="H82" i="36"/>
  <c r="I82" i="36"/>
  <c r="I115" i="36" s="1"/>
  <c r="J82" i="36"/>
  <c r="K82" i="36"/>
  <c r="L82" i="36"/>
  <c r="M82" i="36"/>
  <c r="N82" i="36"/>
  <c r="O82" i="36"/>
  <c r="O115" i="36" s="1"/>
  <c r="G83" i="36"/>
  <c r="H83" i="36"/>
  <c r="H116" i="36" s="1"/>
  <c r="I83" i="36"/>
  <c r="J83" i="36"/>
  <c r="K83" i="36"/>
  <c r="L83" i="36"/>
  <c r="M83" i="36"/>
  <c r="N83" i="36"/>
  <c r="N116" i="36" s="1"/>
  <c r="O83" i="36"/>
  <c r="G84" i="36"/>
  <c r="G117" i="36" s="1"/>
  <c r="H84" i="36"/>
  <c r="I84" i="36"/>
  <c r="J84" i="36"/>
  <c r="K84" i="36"/>
  <c r="L84" i="36"/>
  <c r="M84" i="36"/>
  <c r="M117" i="36" s="1"/>
  <c r="N84" i="36"/>
  <c r="O84" i="36"/>
  <c r="O117" i="36" s="1"/>
  <c r="G85" i="36"/>
  <c r="H85" i="36"/>
  <c r="I85" i="36"/>
  <c r="J85" i="36"/>
  <c r="K85" i="36"/>
  <c r="L85" i="36"/>
  <c r="L118" i="36" s="1"/>
  <c r="M85" i="36"/>
  <c r="N85" i="36"/>
  <c r="N118" i="36" s="1"/>
  <c r="O85" i="36"/>
  <c r="G87" i="36"/>
  <c r="H87" i="36"/>
  <c r="I87" i="36"/>
  <c r="J87" i="36"/>
  <c r="K87" i="36"/>
  <c r="K120" i="36" s="1"/>
  <c r="L87" i="36"/>
  <c r="M87" i="36"/>
  <c r="M120" i="36" s="1"/>
  <c r="N87" i="36"/>
  <c r="O87" i="36"/>
  <c r="G88" i="36"/>
  <c r="H88" i="36"/>
  <c r="I88" i="36"/>
  <c r="J88" i="36"/>
  <c r="J121" i="36" s="1"/>
  <c r="K88" i="36"/>
  <c r="L88" i="36"/>
  <c r="L121" i="36" s="1"/>
  <c r="M88" i="36"/>
  <c r="N88" i="36"/>
  <c r="O88" i="36"/>
  <c r="G89" i="36"/>
  <c r="H89" i="36"/>
  <c r="I89" i="36"/>
  <c r="I122" i="36" s="1"/>
  <c r="J89" i="36"/>
  <c r="K89" i="36"/>
  <c r="K122" i="36" s="1"/>
  <c r="L89" i="36"/>
  <c r="M89" i="36"/>
  <c r="N89" i="36"/>
  <c r="O89" i="36"/>
  <c r="G90" i="36"/>
  <c r="H90" i="36"/>
  <c r="H123" i="36" s="1"/>
  <c r="I90" i="36"/>
  <c r="J90" i="36"/>
  <c r="J123" i="36" s="1"/>
  <c r="K90" i="36"/>
  <c r="L90" i="36"/>
  <c r="M90" i="36"/>
  <c r="N90" i="36"/>
  <c r="O90" i="36"/>
  <c r="G91" i="36"/>
  <c r="G124" i="36" s="1"/>
  <c r="H91" i="36"/>
  <c r="I91" i="36"/>
  <c r="I124" i="36" s="1"/>
  <c r="J91" i="36"/>
  <c r="K91" i="36"/>
  <c r="L91" i="36"/>
  <c r="M91" i="36"/>
  <c r="N91" i="36"/>
  <c r="O91" i="36"/>
  <c r="O124" i="36" s="1"/>
  <c r="G92" i="36"/>
  <c r="H92" i="36"/>
  <c r="H125" i="36" s="1"/>
  <c r="J92" i="36"/>
  <c r="K92" i="36"/>
  <c r="L92" i="36"/>
  <c r="M92" i="36"/>
  <c r="N92" i="36"/>
  <c r="N125" i="36" s="1"/>
  <c r="O92" i="36"/>
  <c r="G93" i="36"/>
  <c r="G126" i="36" s="1"/>
  <c r="H93" i="36"/>
  <c r="J93" i="36"/>
  <c r="K93" i="36"/>
  <c r="L93" i="36"/>
  <c r="M93" i="36"/>
  <c r="M126" i="36" s="1"/>
  <c r="N93" i="36"/>
  <c r="O93" i="36"/>
  <c r="O126" i="36" s="1"/>
  <c r="G94" i="36"/>
  <c r="H94" i="36"/>
  <c r="I94" i="36"/>
  <c r="J94" i="36"/>
  <c r="K94" i="36"/>
  <c r="L94" i="36"/>
  <c r="L127" i="36" s="1"/>
  <c r="M94" i="36"/>
  <c r="N94" i="36"/>
  <c r="N127" i="36" s="1"/>
  <c r="O94" i="36"/>
  <c r="G95" i="36"/>
  <c r="H95" i="36"/>
  <c r="I95" i="36"/>
  <c r="J95" i="36"/>
  <c r="K95" i="36"/>
  <c r="K128" i="36" s="1"/>
  <c r="L95" i="36"/>
  <c r="M95" i="36"/>
  <c r="M128" i="36" s="1"/>
  <c r="N95" i="36"/>
  <c r="O95" i="36"/>
  <c r="G96" i="36"/>
  <c r="H96" i="36"/>
  <c r="I96" i="36"/>
  <c r="J96" i="36"/>
  <c r="J129" i="36" s="1"/>
  <c r="K96" i="36"/>
  <c r="L96" i="36"/>
  <c r="L129" i="36" s="1"/>
  <c r="M96" i="36"/>
  <c r="N96" i="36"/>
  <c r="O96" i="36"/>
  <c r="G97" i="36"/>
  <c r="H97" i="36"/>
  <c r="I97" i="36"/>
  <c r="I130" i="36" s="1"/>
  <c r="J97" i="36"/>
  <c r="K97" i="36"/>
  <c r="K130" i="36" s="1"/>
  <c r="L97" i="36"/>
  <c r="M97" i="36"/>
  <c r="N97" i="36"/>
  <c r="O97" i="36"/>
  <c r="G98" i="36"/>
  <c r="H98" i="36"/>
  <c r="H131" i="36" s="1"/>
  <c r="I98" i="36"/>
  <c r="J98" i="36"/>
  <c r="J131" i="36" s="1"/>
  <c r="K98" i="36"/>
  <c r="L98" i="36"/>
  <c r="M98" i="36"/>
  <c r="N98" i="36"/>
  <c r="O98" i="36"/>
  <c r="G99" i="36"/>
  <c r="G132" i="36" s="1"/>
  <c r="H99" i="36"/>
  <c r="I99" i="36"/>
  <c r="I132" i="36" s="1"/>
  <c r="K99" i="36"/>
  <c r="L99" i="36"/>
  <c r="M99" i="36"/>
  <c r="N99" i="36"/>
  <c r="O99" i="36"/>
  <c r="O132" i="36" s="1"/>
  <c r="G100" i="36"/>
  <c r="H100" i="36"/>
  <c r="H133" i="36" s="1"/>
  <c r="I100" i="36"/>
  <c r="K100" i="36"/>
  <c r="L100" i="36"/>
  <c r="M100" i="36"/>
  <c r="N100" i="36"/>
  <c r="N133" i="36" s="1"/>
  <c r="O100" i="36"/>
  <c r="G101" i="36"/>
  <c r="G134" i="36" s="1"/>
  <c r="H101" i="36"/>
  <c r="I101" i="36"/>
  <c r="J101" i="36"/>
  <c r="K101" i="36"/>
  <c r="L101" i="36"/>
  <c r="M101" i="36"/>
  <c r="M134" i="36" s="1"/>
  <c r="N101" i="36"/>
  <c r="O101" i="36"/>
  <c r="O134" i="36" s="1"/>
  <c r="G105" i="36"/>
  <c r="H105" i="36"/>
  <c r="J105" i="36"/>
  <c r="L105" i="36"/>
  <c r="M105" i="36"/>
  <c r="N105" i="36"/>
  <c r="O105" i="36"/>
  <c r="G106" i="36"/>
  <c r="I106" i="36"/>
  <c r="K106" i="36"/>
  <c r="L106" i="36"/>
  <c r="M106" i="36"/>
  <c r="N106" i="36"/>
  <c r="O106" i="36"/>
  <c r="H107" i="36"/>
  <c r="J107" i="36"/>
  <c r="K107" i="36"/>
  <c r="L107" i="36"/>
  <c r="M107" i="36"/>
  <c r="N107" i="36"/>
  <c r="G108" i="36"/>
  <c r="I108" i="36"/>
  <c r="J108" i="36"/>
  <c r="K108" i="36"/>
  <c r="L108" i="36"/>
  <c r="M108" i="36"/>
  <c r="O108" i="36"/>
  <c r="H109" i="36"/>
  <c r="I109" i="36"/>
  <c r="J109" i="36"/>
  <c r="K109" i="36"/>
  <c r="L109" i="36"/>
  <c r="N109" i="36"/>
  <c r="G110" i="36"/>
  <c r="H110" i="36"/>
  <c r="I110" i="36"/>
  <c r="J110" i="36"/>
  <c r="K110" i="36"/>
  <c r="M110" i="36"/>
  <c r="O110" i="36"/>
  <c r="G111" i="36"/>
  <c r="H111" i="36"/>
  <c r="I111" i="36"/>
  <c r="J111" i="36"/>
  <c r="L111" i="36"/>
  <c r="N111" i="36"/>
  <c r="O111" i="36"/>
  <c r="G112" i="36"/>
  <c r="H112" i="36"/>
  <c r="I112" i="36"/>
  <c r="K112" i="36"/>
  <c r="M112" i="36"/>
  <c r="N112" i="36"/>
  <c r="O112" i="36"/>
  <c r="G113" i="36"/>
  <c r="H113" i="36"/>
  <c r="J113" i="36"/>
  <c r="L113" i="36"/>
  <c r="M113" i="36"/>
  <c r="N113" i="36"/>
  <c r="O113" i="36"/>
  <c r="G114" i="36"/>
  <c r="I114" i="36"/>
  <c r="K114" i="36"/>
  <c r="L114" i="36"/>
  <c r="M114" i="36"/>
  <c r="N114" i="36"/>
  <c r="O114" i="36"/>
  <c r="H115" i="36"/>
  <c r="J115" i="36"/>
  <c r="K115" i="36"/>
  <c r="L115" i="36"/>
  <c r="M115" i="36"/>
  <c r="N115" i="36"/>
  <c r="G116" i="36"/>
  <c r="I116" i="36"/>
  <c r="J116" i="36"/>
  <c r="K116" i="36"/>
  <c r="L116" i="36"/>
  <c r="M116" i="36"/>
  <c r="O116" i="36"/>
  <c r="H117" i="36"/>
  <c r="I117" i="36"/>
  <c r="J117" i="36"/>
  <c r="K117" i="36"/>
  <c r="L117" i="36"/>
  <c r="N117" i="36"/>
  <c r="G118" i="36"/>
  <c r="H118" i="36"/>
  <c r="I118" i="36"/>
  <c r="J118" i="36"/>
  <c r="K118" i="36"/>
  <c r="M118" i="36"/>
  <c r="O118" i="36"/>
  <c r="G120" i="36"/>
  <c r="H120" i="36"/>
  <c r="I120" i="36"/>
  <c r="J120" i="36"/>
  <c r="L120" i="36"/>
  <c r="N120" i="36"/>
  <c r="O120" i="36"/>
  <c r="G121" i="36"/>
  <c r="H121" i="36"/>
  <c r="I121" i="36"/>
  <c r="K121" i="36"/>
  <c r="M121" i="36"/>
  <c r="N121" i="36"/>
  <c r="O121" i="36"/>
  <c r="G122" i="36"/>
  <c r="H122" i="36"/>
  <c r="J122" i="36"/>
  <c r="L122" i="36"/>
  <c r="M122" i="36"/>
  <c r="N122" i="36"/>
  <c r="O122" i="36"/>
  <c r="G123" i="36"/>
  <c r="I123" i="36"/>
  <c r="K123" i="36"/>
  <c r="L123" i="36"/>
  <c r="M123" i="36"/>
  <c r="N123" i="36"/>
  <c r="O123" i="36"/>
  <c r="H124" i="36"/>
  <c r="J124" i="36"/>
  <c r="K124" i="36"/>
  <c r="L124" i="36"/>
  <c r="M124" i="36"/>
  <c r="N124" i="36"/>
  <c r="G125" i="36"/>
  <c r="J125" i="36"/>
  <c r="K125" i="36"/>
  <c r="L125" i="36"/>
  <c r="M125" i="36"/>
  <c r="O125" i="36"/>
  <c r="H126" i="36"/>
  <c r="J126" i="36"/>
  <c r="K126" i="36"/>
  <c r="L126" i="36"/>
  <c r="N126" i="36"/>
  <c r="G127" i="36"/>
  <c r="H127" i="36"/>
  <c r="I127" i="36"/>
  <c r="J127" i="36"/>
  <c r="K127" i="36"/>
  <c r="M127" i="36"/>
  <c r="O127" i="36"/>
  <c r="G128" i="36"/>
  <c r="H128" i="36"/>
  <c r="I128" i="36"/>
  <c r="J128" i="36"/>
  <c r="L128" i="36"/>
  <c r="N128" i="36"/>
  <c r="O128" i="36"/>
  <c r="G129" i="36"/>
  <c r="H129" i="36"/>
  <c r="I129" i="36"/>
  <c r="K129" i="36"/>
  <c r="M129" i="36"/>
  <c r="N129" i="36"/>
  <c r="O129" i="36"/>
  <c r="G130" i="36"/>
  <c r="H130" i="36"/>
  <c r="J130" i="36"/>
  <c r="L130" i="36"/>
  <c r="M130" i="36"/>
  <c r="N130" i="36"/>
  <c r="O130" i="36"/>
  <c r="G131" i="36"/>
  <c r="I131" i="36"/>
  <c r="K131" i="36"/>
  <c r="L131" i="36"/>
  <c r="M131" i="36"/>
  <c r="N131" i="36"/>
  <c r="O131" i="36"/>
  <c r="H132" i="36"/>
  <c r="K132" i="36"/>
  <c r="L132" i="36"/>
  <c r="M132" i="36"/>
  <c r="N132" i="36"/>
  <c r="G133" i="36"/>
  <c r="I133" i="36"/>
  <c r="K133" i="36"/>
  <c r="L133" i="36"/>
  <c r="M133" i="36"/>
  <c r="O133" i="36"/>
  <c r="H134" i="36"/>
  <c r="I134" i="36"/>
  <c r="J134" i="36"/>
  <c r="K134" i="36"/>
  <c r="L134" i="36"/>
  <c r="N134" i="36"/>
  <c r="G250" i="36"/>
  <c r="H250" i="36"/>
  <c r="I250" i="36"/>
  <c r="J250" i="36"/>
  <c r="K250" i="36"/>
  <c r="L250" i="36"/>
  <c r="M250" i="36"/>
  <c r="N250" i="36"/>
  <c r="O250" i="36"/>
  <c r="G179" i="36"/>
  <c r="H179" i="36"/>
  <c r="I179" i="36"/>
  <c r="J179" i="36"/>
  <c r="K179" i="36"/>
  <c r="L179" i="36"/>
  <c r="M179" i="36"/>
  <c r="N179" i="36"/>
  <c r="O179" i="36"/>
  <c r="G182" i="36"/>
  <c r="H182" i="36"/>
  <c r="I182" i="36"/>
  <c r="J182" i="36"/>
  <c r="K182" i="36"/>
  <c r="L182" i="36"/>
  <c r="M182" i="36"/>
  <c r="N182" i="36"/>
  <c r="O182" i="36"/>
  <c r="G183" i="36"/>
  <c r="H183" i="36"/>
  <c r="I183" i="36"/>
  <c r="J183" i="36"/>
  <c r="K183" i="36"/>
  <c r="L183" i="36"/>
  <c r="M183" i="36"/>
  <c r="N183" i="36"/>
  <c r="O183" i="36"/>
  <c r="G184" i="36"/>
  <c r="H184" i="36"/>
  <c r="H216" i="36" s="1"/>
  <c r="I184" i="36"/>
  <c r="J184" i="36"/>
  <c r="J216" i="36" s="1"/>
  <c r="K184" i="36"/>
  <c r="L184" i="36"/>
  <c r="M184" i="36"/>
  <c r="N184" i="36"/>
  <c r="O184" i="36"/>
  <c r="G185" i="36"/>
  <c r="G217" i="36" s="1"/>
  <c r="H185" i="36"/>
  <c r="I185" i="36"/>
  <c r="I217" i="36" s="1"/>
  <c r="J185" i="36"/>
  <c r="K185" i="36"/>
  <c r="L185" i="36"/>
  <c r="M185" i="36"/>
  <c r="N185" i="36"/>
  <c r="O185" i="36"/>
  <c r="O217" i="36" s="1"/>
  <c r="G186" i="36"/>
  <c r="H186" i="36"/>
  <c r="H218" i="36" s="1"/>
  <c r="I186" i="36"/>
  <c r="J186" i="36"/>
  <c r="K186" i="36"/>
  <c r="L186" i="36"/>
  <c r="M186" i="36"/>
  <c r="N186" i="36"/>
  <c r="N218" i="36" s="1"/>
  <c r="O186" i="36"/>
  <c r="G187" i="36"/>
  <c r="G219" i="36" s="1"/>
  <c r="H187" i="36"/>
  <c r="I187" i="36"/>
  <c r="J187" i="36"/>
  <c r="K187" i="36"/>
  <c r="L187" i="36"/>
  <c r="M187" i="36"/>
  <c r="M219" i="36" s="1"/>
  <c r="N187" i="36"/>
  <c r="O187" i="36"/>
  <c r="O219" i="36" s="1"/>
  <c r="G188" i="36"/>
  <c r="H188" i="36"/>
  <c r="I188" i="36"/>
  <c r="J188" i="36"/>
  <c r="K188" i="36"/>
  <c r="L188" i="36"/>
  <c r="L220" i="36" s="1"/>
  <c r="M188" i="36"/>
  <c r="N188" i="36"/>
  <c r="O188" i="36"/>
  <c r="G189" i="36"/>
  <c r="H189" i="36"/>
  <c r="I189" i="36"/>
  <c r="J189" i="36"/>
  <c r="K189" i="36"/>
  <c r="K221" i="36" s="1"/>
  <c r="L189" i="36"/>
  <c r="M189" i="36"/>
  <c r="M221" i="36" s="1"/>
  <c r="N189" i="36"/>
  <c r="O189" i="36"/>
  <c r="G190" i="36"/>
  <c r="H190" i="36"/>
  <c r="I190" i="36"/>
  <c r="J190" i="36"/>
  <c r="J222" i="36" s="1"/>
  <c r="K190" i="36"/>
  <c r="L190" i="36"/>
  <c r="L222" i="36" s="1"/>
  <c r="M190" i="36"/>
  <c r="N190" i="36"/>
  <c r="O190" i="36"/>
  <c r="G191" i="36"/>
  <c r="H191" i="36"/>
  <c r="I191" i="36"/>
  <c r="I223" i="36" s="1"/>
  <c r="J191" i="36"/>
  <c r="K191" i="36"/>
  <c r="K223" i="36" s="1"/>
  <c r="L191" i="36"/>
  <c r="M191" i="36"/>
  <c r="N191" i="36"/>
  <c r="O191" i="36"/>
  <c r="G192" i="36"/>
  <c r="H192" i="36"/>
  <c r="H224" i="36" s="1"/>
  <c r="I192" i="36"/>
  <c r="J192" i="36"/>
  <c r="J224" i="36" s="1"/>
  <c r="K192" i="36"/>
  <c r="L192" i="36"/>
  <c r="M192" i="36"/>
  <c r="N192" i="36"/>
  <c r="O192" i="36"/>
  <c r="G193" i="36"/>
  <c r="G225" i="36" s="1"/>
  <c r="H193" i="36"/>
  <c r="I193" i="36"/>
  <c r="I225" i="36" s="1"/>
  <c r="J193" i="36"/>
  <c r="K193" i="36"/>
  <c r="L193" i="36"/>
  <c r="M193" i="36"/>
  <c r="N193" i="36"/>
  <c r="O193" i="36"/>
  <c r="O225" i="36" s="1"/>
  <c r="G194" i="36"/>
  <c r="H194" i="36"/>
  <c r="H226" i="36" s="1"/>
  <c r="I194" i="36"/>
  <c r="J194" i="36"/>
  <c r="K194" i="36"/>
  <c r="L194" i="36"/>
  <c r="M194" i="36"/>
  <c r="N194" i="36"/>
  <c r="N226" i="36" s="1"/>
  <c r="O194" i="36"/>
  <c r="G195" i="36"/>
  <c r="G227" i="36" s="1"/>
  <c r="H195" i="36"/>
  <c r="I195" i="36"/>
  <c r="J195" i="36"/>
  <c r="K195" i="36"/>
  <c r="L195" i="36"/>
  <c r="M195" i="36"/>
  <c r="M227" i="36" s="1"/>
  <c r="N195" i="36"/>
  <c r="O195" i="36"/>
  <c r="O227" i="36" s="1"/>
  <c r="G197" i="36"/>
  <c r="H197" i="36"/>
  <c r="I197" i="36"/>
  <c r="J197" i="36"/>
  <c r="K197" i="36"/>
  <c r="L197" i="36"/>
  <c r="L229" i="36" s="1"/>
  <c r="M197" i="36"/>
  <c r="N197" i="36"/>
  <c r="N229" i="36" s="1"/>
  <c r="O197" i="36"/>
  <c r="G198" i="36"/>
  <c r="H198" i="36"/>
  <c r="I198" i="36"/>
  <c r="J198" i="36"/>
  <c r="K198" i="36"/>
  <c r="K230" i="36" s="1"/>
  <c r="L198" i="36"/>
  <c r="M198" i="36"/>
  <c r="M230" i="36" s="1"/>
  <c r="N198" i="36"/>
  <c r="O198" i="36"/>
  <c r="G199" i="36"/>
  <c r="H199" i="36"/>
  <c r="I199" i="36"/>
  <c r="J199" i="36"/>
  <c r="J231" i="36" s="1"/>
  <c r="K199" i="36"/>
  <c r="L199" i="36"/>
  <c r="L231" i="36" s="1"/>
  <c r="M199" i="36"/>
  <c r="N199" i="36"/>
  <c r="O199" i="36"/>
  <c r="G200" i="36"/>
  <c r="H200" i="36"/>
  <c r="I200" i="36"/>
  <c r="I232" i="36" s="1"/>
  <c r="J200" i="36"/>
  <c r="K200" i="36"/>
  <c r="K232" i="36" s="1"/>
  <c r="L200" i="36"/>
  <c r="M200" i="36"/>
  <c r="N200" i="36"/>
  <c r="O200" i="36"/>
  <c r="G201" i="36"/>
  <c r="H201" i="36"/>
  <c r="H233" i="36" s="1"/>
  <c r="I201" i="36"/>
  <c r="J201" i="36"/>
  <c r="J233" i="36" s="1"/>
  <c r="K201" i="36"/>
  <c r="L201" i="36"/>
  <c r="M201" i="36"/>
  <c r="N201" i="36"/>
  <c r="O201" i="36"/>
  <c r="G202" i="36"/>
  <c r="G234" i="36" s="1"/>
  <c r="H202" i="36"/>
  <c r="J202" i="36"/>
  <c r="K202" i="36"/>
  <c r="L202" i="36"/>
  <c r="M202" i="36"/>
  <c r="N202" i="36"/>
  <c r="O202" i="36"/>
  <c r="O234" i="36" s="1"/>
  <c r="G203" i="36"/>
  <c r="H203" i="36"/>
  <c r="H235" i="36" s="1"/>
  <c r="J203" i="36"/>
  <c r="K203" i="36"/>
  <c r="L203" i="36"/>
  <c r="M203" i="36"/>
  <c r="N203" i="36"/>
  <c r="N235" i="36" s="1"/>
  <c r="O203" i="36"/>
  <c r="G204" i="36"/>
  <c r="G236" i="36" s="1"/>
  <c r="H204" i="36"/>
  <c r="I204" i="36"/>
  <c r="J204" i="36"/>
  <c r="K204" i="36"/>
  <c r="L204" i="36"/>
  <c r="M204" i="36"/>
  <c r="M236" i="36" s="1"/>
  <c r="N204" i="36"/>
  <c r="O204" i="36"/>
  <c r="O236" i="36" s="1"/>
  <c r="G205" i="36"/>
  <c r="H205" i="36"/>
  <c r="I205" i="36"/>
  <c r="J205" i="36"/>
  <c r="K205" i="36"/>
  <c r="L205" i="36"/>
  <c r="L237" i="36" s="1"/>
  <c r="M205" i="36"/>
  <c r="N205" i="36"/>
  <c r="N237" i="36" s="1"/>
  <c r="O205" i="36"/>
  <c r="G206" i="36"/>
  <c r="H206" i="36"/>
  <c r="I206" i="36"/>
  <c r="J206" i="36"/>
  <c r="K206" i="36"/>
  <c r="K238" i="36" s="1"/>
  <c r="L206" i="36"/>
  <c r="M206" i="36"/>
  <c r="M238" i="36" s="1"/>
  <c r="N206" i="36"/>
  <c r="O206" i="36"/>
  <c r="G207" i="36"/>
  <c r="H207" i="36"/>
  <c r="I207" i="36"/>
  <c r="J207" i="36"/>
  <c r="J239" i="36" s="1"/>
  <c r="K207" i="36"/>
  <c r="L207" i="36"/>
  <c r="L239" i="36" s="1"/>
  <c r="M207" i="36"/>
  <c r="N207" i="36"/>
  <c r="O207" i="36"/>
  <c r="G208" i="36"/>
  <c r="H208" i="36"/>
  <c r="I208" i="36"/>
  <c r="I240" i="36" s="1"/>
  <c r="J208" i="36"/>
  <c r="K208" i="36"/>
  <c r="K240" i="36" s="1"/>
  <c r="L208" i="36"/>
  <c r="M208" i="36"/>
  <c r="N208" i="36"/>
  <c r="O208" i="36"/>
  <c r="G209" i="36"/>
  <c r="H209" i="36"/>
  <c r="H241" i="36" s="1"/>
  <c r="I209" i="36"/>
  <c r="K209" i="36"/>
  <c r="L209" i="36"/>
  <c r="M209" i="36"/>
  <c r="N209" i="36"/>
  <c r="O209" i="36"/>
  <c r="G210" i="36"/>
  <c r="G242" i="36" s="1"/>
  <c r="H210" i="36"/>
  <c r="I210" i="36"/>
  <c r="I242" i="36" s="1"/>
  <c r="K210" i="36"/>
  <c r="L210" i="36"/>
  <c r="M210" i="36"/>
  <c r="N210" i="36"/>
  <c r="O210" i="36"/>
  <c r="O242" i="36" s="1"/>
  <c r="H212" i="36"/>
  <c r="G214" i="36"/>
  <c r="H214" i="36"/>
  <c r="I214" i="36"/>
  <c r="K214" i="36"/>
  <c r="M214" i="36"/>
  <c r="M244" i="36" s="1"/>
  <c r="N214" i="36"/>
  <c r="O214" i="36"/>
  <c r="G215" i="36"/>
  <c r="H215" i="36"/>
  <c r="J215" i="36"/>
  <c r="L215" i="36"/>
  <c r="M215" i="36"/>
  <c r="N215" i="36"/>
  <c r="O215" i="36"/>
  <c r="G216" i="36"/>
  <c r="I216" i="36"/>
  <c r="K216" i="36"/>
  <c r="L216" i="36"/>
  <c r="M216" i="36"/>
  <c r="N216" i="36"/>
  <c r="O216" i="36"/>
  <c r="H217" i="36"/>
  <c r="J217" i="36"/>
  <c r="K217" i="36"/>
  <c r="L217" i="36"/>
  <c r="M217" i="36"/>
  <c r="N217" i="36"/>
  <c r="G218" i="36"/>
  <c r="I218" i="36"/>
  <c r="J218" i="36"/>
  <c r="K218" i="36"/>
  <c r="L218" i="36"/>
  <c r="M218" i="36"/>
  <c r="O218" i="36"/>
  <c r="H219" i="36"/>
  <c r="I219" i="36"/>
  <c r="J219" i="36"/>
  <c r="K219" i="36"/>
  <c r="L219" i="36"/>
  <c r="N219" i="36"/>
  <c r="G220" i="36"/>
  <c r="H220" i="36"/>
  <c r="I220" i="36"/>
  <c r="J220" i="36"/>
  <c r="K220" i="36"/>
  <c r="M220" i="36"/>
  <c r="O220" i="36"/>
  <c r="G221" i="36"/>
  <c r="H221" i="36"/>
  <c r="I221" i="36"/>
  <c r="J221" i="36"/>
  <c r="L221" i="36"/>
  <c r="N221" i="36"/>
  <c r="O221" i="36"/>
  <c r="G222" i="36"/>
  <c r="H222" i="36"/>
  <c r="I222" i="36"/>
  <c r="K222" i="36"/>
  <c r="M222" i="36"/>
  <c r="N222" i="36"/>
  <c r="O222" i="36"/>
  <c r="G223" i="36"/>
  <c r="H223" i="36"/>
  <c r="J223" i="36"/>
  <c r="L223" i="36"/>
  <c r="M223" i="36"/>
  <c r="N223" i="36"/>
  <c r="O223" i="36"/>
  <c r="G224" i="36"/>
  <c r="I224" i="36"/>
  <c r="K224" i="36"/>
  <c r="L224" i="36"/>
  <c r="M224" i="36"/>
  <c r="N224" i="36"/>
  <c r="O224" i="36"/>
  <c r="H225" i="36"/>
  <c r="J225" i="36"/>
  <c r="K225" i="36"/>
  <c r="L225" i="36"/>
  <c r="M225" i="36"/>
  <c r="N225" i="36"/>
  <c r="G226" i="36"/>
  <c r="I226" i="36"/>
  <c r="J226" i="36"/>
  <c r="K226" i="36"/>
  <c r="L226" i="36"/>
  <c r="M226" i="36"/>
  <c r="O226" i="36"/>
  <c r="H227" i="36"/>
  <c r="I227" i="36"/>
  <c r="J227" i="36"/>
  <c r="K227" i="36"/>
  <c r="L227" i="36"/>
  <c r="N227" i="36"/>
  <c r="G229" i="36"/>
  <c r="H229" i="36"/>
  <c r="I229" i="36"/>
  <c r="J229" i="36"/>
  <c r="K229" i="36"/>
  <c r="M229" i="36"/>
  <c r="O229" i="36"/>
  <c r="G230" i="36"/>
  <c r="H230" i="36"/>
  <c r="I230" i="36"/>
  <c r="J230" i="36"/>
  <c r="L230" i="36"/>
  <c r="N230" i="36"/>
  <c r="O230" i="36"/>
  <c r="G231" i="36"/>
  <c r="H231" i="36"/>
  <c r="I231" i="36"/>
  <c r="K231" i="36"/>
  <c r="M231" i="36"/>
  <c r="N231" i="36"/>
  <c r="O231" i="36"/>
  <c r="G232" i="36"/>
  <c r="H232" i="36"/>
  <c r="J232" i="36"/>
  <c r="L232" i="36"/>
  <c r="M232" i="36"/>
  <c r="N232" i="36"/>
  <c r="O232" i="36"/>
  <c r="G233" i="36"/>
  <c r="I233" i="36"/>
  <c r="K233" i="36"/>
  <c r="L233" i="36"/>
  <c r="M233" i="36"/>
  <c r="N233" i="36"/>
  <c r="O233" i="36"/>
  <c r="H234" i="36"/>
  <c r="J234" i="36"/>
  <c r="K234" i="36"/>
  <c r="L234" i="36"/>
  <c r="M234" i="36"/>
  <c r="N234" i="36"/>
  <c r="G235" i="36"/>
  <c r="J235" i="36"/>
  <c r="K235" i="36"/>
  <c r="L235" i="36"/>
  <c r="M235" i="36"/>
  <c r="O235" i="36"/>
  <c r="H236" i="36"/>
  <c r="I236" i="36"/>
  <c r="J236" i="36"/>
  <c r="K236" i="36"/>
  <c r="L236" i="36"/>
  <c r="N236" i="36"/>
  <c r="G237" i="36"/>
  <c r="H237" i="36"/>
  <c r="I237" i="36"/>
  <c r="J237" i="36"/>
  <c r="K237" i="36"/>
  <c r="M237" i="36"/>
  <c r="O237" i="36"/>
  <c r="G238" i="36"/>
  <c r="H238" i="36"/>
  <c r="I238" i="36"/>
  <c r="J238" i="36"/>
  <c r="L238" i="36"/>
  <c r="N238" i="36"/>
  <c r="O238" i="36"/>
  <c r="G239" i="36"/>
  <c r="H239" i="36"/>
  <c r="I239" i="36"/>
  <c r="K239" i="36"/>
  <c r="M239" i="36"/>
  <c r="N239" i="36"/>
  <c r="O239" i="36"/>
  <c r="G240" i="36"/>
  <c r="H240" i="36"/>
  <c r="J240" i="36"/>
  <c r="L240" i="36"/>
  <c r="M240" i="36"/>
  <c r="N240" i="36"/>
  <c r="O240" i="36"/>
  <c r="G241" i="36"/>
  <c r="I241" i="36"/>
  <c r="K241" i="36"/>
  <c r="L241" i="36"/>
  <c r="M241" i="36"/>
  <c r="N241" i="36"/>
  <c r="O241" i="36"/>
  <c r="H242" i="36"/>
  <c r="K242" i="36"/>
  <c r="L242" i="36"/>
  <c r="M242" i="36"/>
  <c r="N242" i="36"/>
  <c r="G1" i="43"/>
  <c r="H1" i="43" s="1"/>
  <c r="I1" i="43" s="1"/>
  <c r="J1" i="43" s="1"/>
  <c r="K1" i="43" s="1"/>
  <c r="L1" i="43" s="1"/>
  <c r="M1" i="43" s="1"/>
  <c r="N1" i="43" s="1"/>
  <c r="G1" i="42"/>
  <c r="H1" i="42" s="1"/>
  <c r="I1" i="42" s="1"/>
  <c r="J1" i="42" s="1"/>
  <c r="K1" i="42" s="1"/>
  <c r="L1" i="42" s="1"/>
  <c r="M1" i="42" s="1"/>
  <c r="N1" i="42" s="1"/>
  <c r="F175" i="42"/>
  <c r="G175" i="42"/>
  <c r="H175" i="42"/>
  <c r="I175" i="42"/>
  <c r="J175" i="42"/>
  <c r="K175" i="42"/>
  <c r="L175" i="42"/>
  <c r="M175" i="42"/>
  <c r="N175" i="42"/>
  <c r="F176" i="42"/>
  <c r="G176" i="42"/>
  <c r="H176" i="42"/>
  <c r="I176" i="42"/>
  <c r="J176" i="42"/>
  <c r="K176" i="42"/>
  <c r="L176" i="42"/>
  <c r="M176" i="42"/>
  <c r="N176" i="42"/>
  <c r="F7" i="3"/>
  <c r="F8" i="3"/>
  <c r="F9" i="3"/>
  <c r="H10" i="3"/>
  <c r="I10" i="3"/>
  <c r="J10" i="3"/>
  <c r="K10" i="3"/>
  <c r="L10" i="3"/>
  <c r="M10" i="3"/>
  <c r="N10" i="3"/>
  <c r="N34" i="3" s="1"/>
  <c r="O10" i="3"/>
  <c r="P10" i="3"/>
  <c r="P34" i="3" s="1"/>
  <c r="F16" i="3"/>
  <c r="F17" i="3"/>
  <c r="F18" i="3"/>
  <c r="H19" i="3"/>
  <c r="I19" i="3"/>
  <c r="J19" i="3"/>
  <c r="K19" i="3"/>
  <c r="F19" i="3" s="1"/>
  <c r="L19" i="3"/>
  <c r="M19" i="3"/>
  <c r="N19" i="3"/>
  <c r="O19" i="3"/>
  <c r="P19" i="3"/>
  <c r="F24" i="3"/>
  <c r="F25" i="3"/>
  <c r="F26" i="3"/>
  <c r="F27" i="3"/>
  <c r="F28" i="3"/>
  <c r="F29" i="3"/>
  <c r="F30" i="3"/>
  <c r="F31" i="3"/>
  <c r="H32" i="3"/>
  <c r="I32" i="3"/>
  <c r="I34" i="3" s="1"/>
  <c r="J32" i="3"/>
  <c r="K32" i="3"/>
  <c r="L32" i="3"/>
  <c r="L34" i="3" s="1"/>
  <c r="M32" i="3"/>
  <c r="N32" i="3"/>
  <c r="O32" i="3"/>
  <c r="P32" i="3"/>
  <c r="F32" i="3"/>
  <c r="J34" i="3"/>
  <c r="K34" i="3"/>
  <c r="M34" i="3"/>
  <c r="O34" i="3"/>
  <c r="G27" i="44"/>
  <c r="H27" i="44"/>
  <c r="I27" i="44"/>
  <c r="J27" i="44"/>
  <c r="K27" i="44"/>
  <c r="L27" i="44"/>
  <c r="M27" i="44"/>
  <c r="N27" i="44"/>
  <c r="O27" i="44"/>
  <c r="P27" i="44"/>
  <c r="G48" i="44"/>
  <c r="H48" i="44"/>
  <c r="I48" i="44"/>
  <c r="J48" i="44"/>
  <c r="K48" i="44"/>
  <c r="L48" i="44"/>
  <c r="M48" i="44"/>
  <c r="N48" i="44"/>
  <c r="O48" i="44"/>
  <c r="P48" i="44"/>
  <c r="G69" i="44"/>
  <c r="H69" i="44"/>
  <c r="I69" i="44"/>
  <c r="J69" i="44"/>
  <c r="K69" i="44"/>
  <c r="R69" i="44"/>
  <c r="S69" i="44"/>
  <c r="D80" i="44"/>
  <c r="E80" i="44" s="1"/>
  <c r="F80" i="44" s="1"/>
  <c r="G80" i="44" s="1"/>
  <c r="H80" i="44" s="1"/>
  <c r="I80" i="44" s="1"/>
  <c r="J80" i="44" s="1"/>
  <c r="K80" i="44" s="1"/>
  <c r="M80" i="44" s="1"/>
  <c r="N80" i="44" s="1"/>
  <c r="O80" i="44" s="1"/>
  <c r="P80" i="44" s="1"/>
  <c r="C81" i="44"/>
  <c r="P81" i="44" s="1"/>
  <c r="P83" i="44" s="1"/>
  <c r="C83" i="44"/>
  <c r="D83" i="44"/>
  <c r="E83" i="44"/>
  <c r="F83" i="44"/>
  <c r="G83" i="44"/>
  <c r="H83" i="44"/>
  <c r="I83" i="44"/>
  <c r="J83" i="44"/>
  <c r="K83" i="44"/>
  <c r="M83" i="44"/>
  <c r="N83" i="44"/>
  <c r="O83" i="44"/>
  <c r="D87" i="44"/>
  <c r="E87" i="44" s="1"/>
  <c r="F87" i="44"/>
  <c r="G87" i="44" s="1"/>
  <c r="H87" i="44" s="1"/>
  <c r="I87" i="44" s="1"/>
  <c r="J87" i="44" s="1"/>
  <c r="K87" i="44" s="1"/>
  <c r="M87" i="44" s="1"/>
  <c r="N87" i="44" s="1"/>
  <c r="C88" i="44"/>
  <c r="N88" i="44"/>
  <c r="N90" i="44" s="1"/>
  <c r="D103" i="44" s="1"/>
  <c r="C90" i="44"/>
  <c r="D90" i="44"/>
  <c r="E90" i="44"/>
  <c r="F90" i="44"/>
  <c r="G90" i="44"/>
  <c r="H90" i="44"/>
  <c r="I90" i="44"/>
  <c r="J90" i="44"/>
  <c r="K90" i="44"/>
  <c r="M90" i="44"/>
  <c r="C92" i="44"/>
  <c r="C103" i="44" s="1"/>
  <c r="D94" i="44"/>
  <c r="E94" i="44" s="1"/>
  <c r="F94" i="44"/>
  <c r="G94" i="44" s="1"/>
  <c r="H94" i="44" s="1"/>
  <c r="I94" i="44" s="1"/>
  <c r="J94" i="44" s="1"/>
  <c r="C95" i="44"/>
  <c r="D97" i="44"/>
  <c r="E97" i="44"/>
  <c r="F97" i="44"/>
  <c r="G97" i="44"/>
  <c r="H97" i="44"/>
  <c r="I97" i="44"/>
  <c r="E119" i="44"/>
  <c r="F16" i="10" s="1"/>
  <c r="F119" i="44"/>
  <c r="F4" i="23"/>
  <c r="G4" i="23"/>
  <c r="G20" i="23" s="1"/>
  <c r="G22" i="23" s="1"/>
  <c r="H4" i="23"/>
  <c r="H20" i="23" s="1"/>
  <c r="I4" i="23"/>
  <c r="I20" i="23" s="1"/>
  <c r="J4" i="23"/>
  <c r="J20" i="23" s="1"/>
  <c r="K4" i="23"/>
  <c r="K20" i="23" s="1"/>
  <c r="L4" i="23"/>
  <c r="M4" i="23"/>
  <c r="M20" i="23" s="1"/>
  <c r="N4" i="23"/>
  <c r="O4" i="23"/>
  <c r="O20" i="23" s="1"/>
  <c r="F5" i="23"/>
  <c r="F28" i="23" s="1"/>
  <c r="G5" i="23"/>
  <c r="G28" i="23" s="1"/>
  <c r="H5" i="23"/>
  <c r="H36" i="23" s="1"/>
  <c r="I5" i="23"/>
  <c r="I36" i="23" s="1"/>
  <c r="J5" i="23"/>
  <c r="K5" i="23"/>
  <c r="K36" i="23" s="1"/>
  <c r="L5" i="23"/>
  <c r="M5" i="23"/>
  <c r="M28" i="23" s="1"/>
  <c r="N5" i="23"/>
  <c r="N36" i="23" s="1"/>
  <c r="O5" i="23"/>
  <c r="O28" i="23" s="1"/>
  <c r="F20" i="23"/>
  <c r="L20" i="23"/>
  <c r="N20" i="23"/>
  <c r="F27" i="23"/>
  <c r="G27" i="23"/>
  <c r="H27" i="23"/>
  <c r="I27" i="23"/>
  <c r="J27" i="23"/>
  <c r="K27" i="23"/>
  <c r="L27" i="23"/>
  <c r="M27" i="23"/>
  <c r="N27" i="23"/>
  <c r="O27" i="23"/>
  <c r="C28" i="23"/>
  <c r="J28" i="23"/>
  <c r="K28" i="23"/>
  <c r="L28" i="23"/>
  <c r="F35" i="23"/>
  <c r="G35" i="23"/>
  <c r="H35" i="23"/>
  <c r="I35" i="23"/>
  <c r="J35" i="23"/>
  <c r="K35" i="23"/>
  <c r="L35" i="23"/>
  <c r="M35" i="23"/>
  <c r="N35" i="23"/>
  <c r="O35" i="23"/>
  <c r="J36" i="23"/>
  <c r="L36" i="23"/>
  <c r="F50" i="23"/>
  <c r="F10" i="10"/>
  <c r="G10" i="10"/>
  <c r="H10" i="10"/>
  <c r="I10" i="10"/>
  <c r="J10" i="10"/>
  <c r="K10" i="10"/>
  <c r="L10" i="10"/>
  <c r="M10" i="10"/>
  <c r="N10" i="10"/>
  <c r="G13" i="10"/>
  <c r="H13" i="10" s="1"/>
  <c r="I13" i="10" s="1"/>
  <c r="J13" i="10" s="1"/>
  <c r="K13" i="10" s="1"/>
  <c r="F14" i="10"/>
  <c r="G14" i="10" s="1"/>
  <c r="H14" i="10" s="1"/>
  <c r="I14" i="10" s="1"/>
  <c r="J14" i="10"/>
  <c r="K14" i="10" s="1"/>
  <c r="L14" i="10" s="1"/>
  <c r="M14" i="10" s="1"/>
  <c r="N14" i="10" s="1"/>
  <c r="G16" i="10"/>
  <c r="F22" i="10"/>
  <c r="G22" i="10"/>
  <c r="H22" i="10"/>
  <c r="I22" i="10"/>
  <c r="J22" i="10"/>
  <c r="K22" i="10"/>
  <c r="L22" i="10"/>
  <c r="M22" i="10"/>
  <c r="N22" i="10"/>
  <c r="F24" i="10"/>
  <c r="G24" i="10"/>
  <c r="H24" i="10"/>
  <c r="I24" i="10"/>
  <c r="J24" i="10"/>
  <c r="K24" i="10"/>
  <c r="L24" i="10"/>
  <c r="M24" i="10"/>
  <c r="N24" i="10"/>
  <c r="G27" i="10"/>
  <c r="F28" i="10"/>
  <c r="G30" i="10"/>
  <c r="G35" i="10"/>
  <c r="H35" i="10" s="1"/>
  <c r="I1" i="41"/>
  <c r="J1" i="41"/>
  <c r="K1" i="41" s="1"/>
  <c r="L1" i="41"/>
  <c r="M1" i="41" s="1"/>
  <c r="N1" i="41" s="1"/>
  <c r="O1" i="41" s="1"/>
  <c r="P1" i="41" s="1"/>
  <c r="H12" i="41"/>
  <c r="I12" i="41" s="1"/>
  <c r="J12" i="41" s="1"/>
  <c r="K12" i="41" s="1"/>
  <c r="L12" i="41" s="1"/>
  <c r="M12" i="41" s="1"/>
  <c r="N12" i="41" s="1"/>
  <c r="O12" i="41" s="1"/>
  <c r="P12" i="41" s="1"/>
  <c r="H13" i="41"/>
  <c r="I13" i="41"/>
  <c r="J13" i="41" s="1"/>
  <c r="K13" i="41" s="1"/>
  <c r="L13" i="41" s="1"/>
  <c r="M13" i="41" s="1"/>
  <c r="N13" i="41" s="1"/>
  <c r="O13" i="41" s="1"/>
  <c r="P13" i="41" s="1"/>
  <c r="H16" i="41"/>
  <c r="I16" i="41"/>
  <c r="J16" i="41" s="1"/>
  <c r="K16" i="41" s="1"/>
  <c r="L16" i="41" s="1"/>
  <c r="M16" i="41" s="1"/>
  <c r="N16" i="41" s="1"/>
  <c r="O16" i="41" s="1"/>
  <c r="P16" i="41" s="1"/>
  <c r="H17" i="41"/>
  <c r="I17" i="41" s="1"/>
  <c r="J17" i="41" s="1"/>
  <c r="K17" i="41" s="1"/>
  <c r="L17" i="41" s="1"/>
  <c r="M17" i="41" s="1"/>
  <c r="N17" i="41" s="1"/>
  <c r="O17" i="41"/>
  <c r="P17" i="41" s="1"/>
  <c r="H18" i="41"/>
  <c r="I18" i="41"/>
  <c r="J18" i="41" s="1"/>
  <c r="K18" i="41" s="1"/>
  <c r="L18" i="41" s="1"/>
  <c r="M18" i="41" s="1"/>
  <c r="N18" i="41"/>
  <c r="O18" i="41"/>
  <c r="P18" i="41" s="1"/>
  <c r="H19" i="41"/>
  <c r="I19" i="41" s="1"/>
  <c r="J19" i="41" s="1"/>
  <c r="K19" i="41" s="1"/>
  <c r="L19" i="41" s="1"/>
  <c r="M19" i="41" s="1"/>
  <c r="N19" i="41" s="1"/>
  <c r="O19" i="41" s="1"/>
  <c r="P19" i="41" s="1"/>
  <c r="H20" i="41"/>
  <c r="I20" i="41" s="1"/>
  <c r="J20" i="41" s="1"/>
  <c r="K20" i="41" s="1"/>
  <c r="L20" i="41"/>
  <c r="M20" i="41" s="1"/>
  <c r="N20" i="41" s="1"/>
  <c r="O20" i="41" s="1"/>
  <c r="P20" i="41" s="1"/>
  <c r="H21" i="41"/>
  <c r="I21" i="41"/>
  <c r="J21" i="41" s="1"/>
  <c r="K21" i="41" s="1"/>
  <c r="L21" i="41" s="1"/>
  <c r="M21" i="41" s="1"/>
  <c r="N21" i="41" s="1"/>
  <c r="O21" i="41" s="1"/>
  <c r="P21" i="41" s="1"/>
  <c r="H22" i="41"/>
  <c r="I22" i="41" s="1"/>
  <c r="J22" i="41" s="1"/>
  <c r="K22" i="41" s="1"/>
  <c r="L22" i="41" s="1"/>
  <c r="M22" i="41" s="1"/>
  <c r="N22" i="41" s="1"/>
  <c r="O22" i="41" s="1"/>
  <c r="P22" i="41" s="1"/>
  <c r="H23" i="41"/>
  <c r="I23" i="41"/>
  <c r="J23" i="41"/>
  <c r="K23" i="41" s="1"/>
  <c r="L23" i="41" s="1"/>
  <c r="M23" i="41" s="1"/>
  <c r="N23" i="41" s="1"/>
  <c r="O23" i="41" s="1"/>
  <c r="P23" i="41" s="1"/>
  <c r="H26" i="41"/>
  <c r="I26" i="41" s="1"/>
  <c r="J26" i="41" s="1"/>
  <c r="K26" i="41" s="1"/>
  <c r="L26" i="41" s="1"/>
  <c r="M26" i="41" s="1"/>
  <c r="N26" i="41" s="1"/>
  <c r="O26" i="41" s="1"/>
  <c r="P26" i="41" s="1"/>
  <c r="H27" i="41"/>
  <c r="I27" i="41" s="1"/>
  <c r="J27" i="41" s="1"/>
  <c r="K27" i="41" s="1"/>
  <c r="L27" i="41" s="1"/>
  <c r="M27" i="41" s="1"/>
  <c r="N27" i="41" s="1"/>
  <c r="O27" i="41"/>
  <c r="P27" i="41" s="1"/>
  <c r="H28" i="41"/>
  <c r="I28" i="41"/>
  <c r="J28" i="41" s="1"/>
  <c r="K28" i="41" s="1"/>
  <c r="L28" i="41" s="1"/>
  <c r="M28" i="41" s="1"/>
  <c r="N28" i="41" s="1"/>
  <c r="O28" i="41" s="1"/>
  <c r="P28" i="41" s="1"/>
  <c r="H29" i="41"/>
  <c r="I29" i="41" s="1"/>
  <c r="J29" i="41" s="1"/>
  <c r="K29" i="41"/>
  <c r="L29" i="41" s="1"/>
  <c r="M29" i="41" s="1"/>
  <c r="N29" i="41" s="1"/>
  <c r="O29" i="41" s="1"/>
  <c r="P29" i="41" s="1"/>
  <c r="H30" i="41"/>
  <c r="I30" i="41" s="1"/>
  <c r="J30" i="41" s="1"/>
  <c r="K30" i="41" s="1"/>
  <c r="L30" i="41" s="1"/>
  <c r="M30" i="41" s="1"/>
  <c r="N30" i="41" s="1"/>
  <c r="O30" i="41" s="1"/>
  <c r="P30" i="41" s="1"/>
  <c r="H31" i="41"/>
  <c r="I31" i="41"/>
  <c r="J31" i="41" s="1"/>
  <c r="K31" i="41" s="1"/>
  <c r="L31" i="41" s="1"/>
  <c r="M31" i="41" s="1"/>
  <c r="N31" i="41" s="1"/>
  <c r="O31" i="41" s="1"/>
  <c r="P31" i="41" s="1"/>
  <c r="H32" i="41"/>
  <c r="I32" i="41" s="1"/>
  <c r="J32" i="41" s="1"/>
  <c r="K32" i="41" s="1"/>
  <c r="L32" i="41" s="1"/>
  <c r="M32" i="41" s="1"/>
  <c r="N32" i="41" s="1"/>
  <c r="O32" i="41" s="1"/>
  <c r="P32" i="41" s="1"/>
  <c r="H33" i="41"/>
  <c r="I33" i="41"/>
  <c r="J33" i="41" s="1"/>
  <c r="K33" i="41" s="1"/>
  <c r="L33" i="41" s="1"/>
  <c r="M33" i="41" s="1"/>
  <c r="N33" i="41" s="1"/>
  <c r="O33" i="41" s="1"/>
  <c r="P33" i="41" s="1"/>
  <c r="H34" i="41"/>
  <c r="I34" i="41" s="1"/>
  <c r="J34" i="41" s="1"/>
  <c r="K34" i="41" s="1"/>
  <c r="L34" i="41" s="1"/>
  <c r="M34" i="41" s="1"/>
  <c r="N34" i="41" s="1"/>
  <c r="O34" i="41" s="1"/>
  <c r="P34" i="41" s="1"/>
  <c r="H35" i="41"/>
  <c r="I35" i="41" s="1"/>
  <c r="J35" i="41" s="1"/>
  <c r="K35" i="41" s="1"/>
  <c r="L35" i="41" s="1"/>
  <c r="M35" i="41"/>
  <c r="N35" i="41" s="1"/>
  <c r="O35" i="41" s="1"/>
  <c r="P35" i="41" s="1"/>
  <c r="H36" i="41"/>
  <c r="I36" i="41"/>
  <c r="J36" i="41" s="1"/>
  <c r="K36" i="41" s="1"/>
  <c r="L36" i="41" s="1"/>
  <c r="M36" i="41" s="1"/>
  <c r="N36" i="41"/>
  <c r="O36" i="41" s="1"/>
  <c r="P36" i="41" s="1"/>
  <c r="H37" i="41"/>
  <c r="I37" i="41" s="1"/>
  <c r="J37" i="41" s="1"/>
  <c r="K37" i="41" s="1"/>
  <c r="L37" i="41" s="1"/>
  <c r="M37" i="41" s="1"/>
  <c r="N37" i="41" s="1"/>
  <c r="O37" i="41" s="1"/>
  <c r="P37" i="41" s="1"/>
  <c r="H38" i="41"/>
  <c r="I38" i="41" s="1"/>
  <c r="J38" i="41" s="1"/>
  <c r="K38" i="41" s="1"/>
  <c r="L38" i="41"/>
  <c r="M38" i="41" s="1"/>
  <c r="N38" i="41" s="1"/>
  <c r="O38" i="41" s="1"/>
  <c r="P38" i="41" s="1"/>
  <c r="H39" i="41"/>
  <c r="I39" i="41"/>
  <c r="J39" i="41" s="1"/>
  <c r="K39" i="41"/>
  <c r="L39" i="41"/>
  <c r="M39" i="41" s="1"/>
  <c r="N39" i="41" s="1"/>
  <c r="O39" i="41" s="1"/>
  <c r="P39" i="41" s="1"/>
  <c r="H40" i="41"/>
  <c r="I40" i="41" s="1"/>
  <c r="J40" i="41" s="1"/>
  <c r="K40" i="41" s="1"/>
  <c r="L40" i="41" s="1"/>
  <c r="M40" i="41" s="1"/>
  <c r="N40" i="41" s="1"/>
  <c r="O40" i="41" s="1"/>
  <c r="P40" i="41" s="1"/>
  <c r="H41" i="41"/>
  <c r="I41" i="41"/>
  <c r="J41" i="41"/>
  <c r="K41" i="41" s="1"/>
  <c r="L41" i="41" s="1"/>
  <c r="M41" i="41" s="1"/>
  <c r="N41" i="41" s="1"/>
  <c r="O41" i="41"/>
  <c r="P41" i="41" s="1"/>
  <c r="H42" i="41"/>
  <c r="I42" i="41" s="1"/>
  <c r="J42" i="41" s="1"/>
  <c r="K42" i="41" s="1"/>
  <c r="L42" i="41" s="1"/>
  <c r="M42" i="41" s="1"/>
  <c r="N42" i="41"/>
  <c r="O42" i="41" s="1"/>
  <c r="P42" i="41" s="1"/>
  <c r="H43" i="41"/>
  <c r="I43" i="41" s="1"/>
  <c r="J43" i="41" s="1"/>
  <c r="K43" i="41" s="1"/>
  <c r="L43" i="41" s="1"/>
  <c r="M43" i="41" s="1"/>
  <c r="N43" i="41" s="1"/>
  <c r="O43" i="41" s="1"/>
  <c r="P43" i="41" s="1"/>
  <c r="H44" i="41"/>
  <c r="I44" i="41"/>
  <c r="J44" i="41" s="1"/>
  <c r="K44" i="41" s="1"/>
  <c r="L44" i="41"/>
  <c r="M44" i="41" s="1"/>
  <c r="N44" i="41" s="1"/>
  <c r="O44" i="41" s="1"/>
  <c r="P44" i="41" s="1"/>
  <c r="H45" i="41"/>
  <c r="I45" i="41" s="1"/>
  <c r="J45" i="41" s="1"/>
  <c r="K45" i="41"/>
  <c r="L45" i="41" s="1"/>
  <c r="M45" i="41"/>
  <c r="N45" i="41" s="1"/>
  <c r="O45" i="41" s="1"/>
  <c r="P45" i="41" s="1"/>
  <c r="H46" i="41"/>
  <c r="I46" i="41" s="1"/>
  <c r="J46" i="41"/>
  <c r="K46" i="41" s="1"/>
  <c r="L46" i="41" s="1"/>
  <c r="M46" i="41" s="1"/>
  <c r="N46" i="41" s="1"/>
  <c r="O46" i="41" s="1"/>
  <c r="P46" i="41" s="1"/>
  <c r="H47" i="41"/>
  <c r="I47" i="41"/>
  <c r="J47" i="41" s="1"/>
  <c r="K47" i="41"/>
  <c r="L47" i="41" s="1"/>
  <c r="M47" i="41" s="1"/>
  <c r="N47" i="41" s="1"/>
  <c r="O47" i="41" s="1"/>
  <c r="P47" i="41" s="1"/>
  <c r="H48" i="41"/>
  <c r="I48" i="41" s="1"/>
  <c r="J48" i="41"/>
  <c r="K48" i="41" s="1"/>
  <c r="L48" i="41" s="1"/>
  <c r="M48" i="41" s="1"/>
  <c r="N48" i="41" s="1"/>
  <c r="O48" i="41" s="1"/>
  <c r="P48" i="41" s="1"/>
  <c r="H49" i="41"/>
  <c r="I49" i="41"/>
  <c r="J49" i="41"/>
  <c r="K49" i="41" s="1"/>
  <c r="L49" i="41" s="1"/>
  <c r="M49" i="41" s="1"/>
  <c r="N49" i="41" s="1"/>
  <c r="O49" i="41" s="1"/>
  <c r="P49" i="41" s="1"/>
  <c r="H50" i="41"/>
  <c r="I50" i="41"/>
  <c r="J50" i="41" s="1"/>
  <c r="K50" i="41" s="1"/>
  <c r="L50" i="41" s="1"/>
  <c r="M50" i="41" s="1"/>
  <c r="N50" i="41" s="1"/>
  <c r="O50" i="41" s="1"/>
  <c r="P50" i="41" s="1"/>
  <c r="H51" i="41"/>
  <c r="I51" i="41" s="1"/>
  <c r="J51" i="41" s="1"/>
  <c r="K51" i="41" s="1"/>
  <c r="L51" i="41" s="1"/>
  <c r="M51" i="41"/>
  <c r="N51" i="41" s="1"/>
  <c r="O51" i="41"/>
  <c r="P51" i="41" s="1"/>
  <c r="H52" i="41"/>
  <c r="I52" i="41"/>
  <c r="J52" i="41" s="1"/>
  <c r="K52" i="41" s="1"/>
  <c r="L52" i="41" s="1"/>
  <c r="M52" i="41" s="1"/>
  <c r="N52" i="41"/>
  <c r="O52" i="41" s="1"/>
  <c r="P52" i="41" s="1"/>
  <c r="H55" i="41"/>
  <c r="I55" i="41" s="1"/>
  <c r="J55" i="41" s="1"/>
  <c r="K55" i="41"/>
  <c r="L55" i="41" s="1"/>
  <c r="M55" i="41" s="1"/>
  <c r="N55" i="41" s="1"/>
  <c r="O55" i="41" s="1"/>
  <c r="P55" i="41" s="1"/>
  <c r="H56" i="41"/>
  <c r="I56" i="41" s="1"/>
  <c r="J56" i="41" s="1"/>
  <c r="K56" i="41" s="1"/>
  <c r="L56" i="41" s="1"/>
  <c r="M56" i="41" s="1"/>
  <c r="N56" i="41" s="1"/>
  <c r="O56" i="41" s="1"/>
  <c r="P56" i="41" s="1"/>
  <c r="H57" i="41"/>
  <c r="I57" i="41"/>
  <c r="J57" i="41" s="1"/>
  <c r="K57" i="41" s="1"/>
  <c r="L57" i="41" s="1"/>
  <c r="M57" i="41" s="1"/>
  <c r="N57" i="41" s="1"/>
  <c r="O57" i="41" s="1"/>
  <c r="P57" i="41" s="1"/>
  <c r="H58" i="41"/>
  <c r="I58" i="41" s="1"/>
  <c r="J58" i="41" s="1"/>
  <c r="K58" i="41"/>
  <c r="L58" i="41" s="1"/>
  <c r="M58" i="41" s="1"/>
  <c r="N58" i="41" s="1"/>
  <c r="O58" i="41"/>
  <c r="P58" i="41" s="1"/>
  <c r="H59" i="41"/>
  <c r="I59" i="41"/>
  <c r="J59" i="41" s="1"/>
  <c r="K59" i="41" s="1"/>
  <c r="L59" i="41" s="1"/>
  <c r="M59" i="41" s="1"/>
  <c r="N59" i="41" s="1"/>
  <c r="O59" i="41" s="1"/>
  <c r="P59" i="41" s="1"/>
  <c r="H60" i="41"/>
  <c r="I60" i="41" s="1"/>
  <c r="J60" i="41" s="1"/>
  <c r="K60" i="41" s="1"/>
  <c r="L60" i="41" s="1"/>
  <c r="M60" i="41" s="1"/>
  <c r="N60" i="41" s="1"/>
  <c r="O60" i="41" s="1"/>
  <c r="P60" i="41" s="1"/>
  <c r="H61" i="41"/>
  <c r="I61" i="41"/>
  <c r="J61" i="41" s="1"/>
  <c r="K61" i="41" s="1"/>
  <c r="L61" i="41" s="1"/>
  <c r="M61" i="41" s="1"/>
  <c r="N61" i="41" s="1"/>
  <c r="O61" i="41" s="1"/>
  <c r="P61" i="41" s="1"/>
  <c r="H62" i="41"/>
  <c r="I62" i="41" s="1"/>
  <c r="J62" i="41" s="1"/>
  <c r="K62" i="41"/>
  <c r="L62" i="41"/>
  <c r="M62" i="41" s="1"/>
  <c r="N62" i="41" s="1"/>
  <c r="O62" i="41" s="1"/>
  <c r="P62" i="41" s="1"/>
  <c r="H63" i="41"/>
  <c r="I63" i="41"/>
  <c r="J63" i="41"/>
  <c r="K63" i="41" s="1"/>
  <c r="L63" i="41" s="1"/>
  <c r="M63" i="41" s="1"/>
  <c r="N63" i="41" s="1"/>
  <c r="O63" i="41" s="1"/>
  <c r="P63" i="41" s="1"/>
  <c r="H64" i="41"/>
  <c r="I64" i="41"/>
  <c r="J64" i="41" s="1"/>
  <c r="K64" i="41" s="1"/>
  <c r="L64" i="41" s="1"/>
  <c r="M64" i="41" s="1"/>
  <c r="N64" i="41" s="1"/>
  <c r="O64" i="41" s="1"/>
  <c r="P64" i="41" s="1"/>
  <c r="H65" i="41"/>
  <c r="I65" i="41"/>
  <c r="J65" i="41" s="1"/>
  <c r="K65" i="41" s="1"/>
  <c r="L65" i="41" s="1"/>
  <c r="M65" i="41" s="1"/>
  <c r="N65" i="41" s="1"/>
  <c r="O65" i="41" s="1"/>
  <c r="P65" i="41" s="1"/>
  <c r="H66" i="41"/>
  <c r="I66" i="41" s="1"/>
  <c r="J66" i="41" s="1"/>
  <c r="K66" i="41" s="1"/>
  <c r="L66" i="41" s="1"/>
  <c r="M66" i="41" s="1"/>
  <c r="N66" i="41" s="1"/>
  <c r="O66" i="41" s="1"/>
  <c r="P66" i="41" s="1"/>
  <c r="H67" i="41"/>
  <c r="I67" i="41"/>
  <c r="J67" i="41" s="1"/>
  <c r="K67" i="41"/>
  <c r="L67" i="41" s="1"/>
  <c r="M67" i="41" s="1"/>
  <c r="N67" i="41" s="1"/>
  <c r="O67" i="41" s="1"/>
  <c r="P67" i="41" s="1"/>
  <c r="H68" i="41"/>
  <c r="I68" i="41" s="1"/>
  <c r="J68" i="41"/>
  <c r="K68" i="41" s="1"/>
  <c r="L68" i="41" s="1"/>
  <c r="M68" i="41" s="1"/>
  <c r="N68" i="41"/>
  <c r="O68" i="41" s="1"/>
  <c r="P68" i="41" s="1"/>
  <c r="H69" i="41"/>
  <c r="I69" i="41"/>
  <c r="J69" i="41" s="1"/>
  <c r="K69" i="41" s="1"/>
  <c r="L69" i="41" s="1"/>
  <c r="M69" i="41" s="1"/>
  <c r="N69" i="41" s="1"/>
  <c r="O69" i="41" s="1"/>
  <c r="P69" i="41" s="1"/>
  <c r="H70" i="41"/>
  <c r="I70" i="41" s="1"/>
  <c r="J70" i="41" s="1"/>
  <c r="K70" i="41" s="1"/>
  <c r="L70" i="41" s="1"/>
  <c r="M70" i="41" s="1"/>
  <c r="N70" i="41" s="1"/>
  <c r="O70" i="41" s="1"/>
  <c r="P70" i="41" s="1"/>
  <c r="H71" i="41"/>
  <c r="I71" i="41"/>
  <c r="J71" i="41"/>
  <c r="K71" i="41" s="1"/>
  <c r="L71" i="41" s="1"/>
  <c r="M71" i="41" s="1"/>
  <c r="N71" i="41" s="1"/>
  <c r="O71" i="41" s="1"/>
  <c r="P71" i="41" s="1"/>
  <c r="H72" i="41"/>
  <c r="I72" i="41"/>
  <c r="J72" i="41" s="1"/>
  <c r="K72" i="41" s="1"/>
  <c r="L72" i="41" s="1"/>
  <c r="M72" i="41" s="1"/>
  <c r="N72" i="41" s="1"/>
  <c r="O72" i="41" s="1"/>
  <c r="P72" i="41" s="1"/>
  <c r="H73" i="41"/>
  <c r="I73" i="41"/>
  <c r="J73" i="41" s="1"/>
  <c r="K73" i="41" s="1"/>
  <c r="L73" i="41" s="1"/>
  <c r="M73" i="41" s="1"/>
  <c r="N73" i="41" s="1"/>
  <c r="O73" i="41" s="1"/>
  <c r="P73" i="41" s="1"/>
  <c r="H74" i="41"/>
  <c r="I74" i="41" s="1"/>
  <c r="J74" i="41" s="1"/>
  <c r="K74" i="41" s="1"/>
  <c r="L74" i="41" s="1"/>
  <c r="M74" i="41" s="1"/>
  <c r="N74" i="41"/>
  <c r="O74" i="41" s="1"/>
  <c r="P74" i="41" s="1"/>
  <c r="H75" i="41"/>
  <c r="I75" i="41"/>
  <c r="J75" i="41" s="1"/>
  <c r="K75" i="41"/>
  <c r="L75" i="41" s="1"/>
  <c r="M75" i="41" s="1"/>
  <c r="N75" i="41" s="1"/>
  <c r="O75" i="41" s="1"/>
  <c r="P75" i="41" s="1"/>
  <c r="H76" i="41"/>
  <c r="I76" i="41" s="1"/>
  <c r="J76" i="41"/>
  <c r="K76" i="41" s="1"/>
  <c r="L76" i="41" s="1"/>
  <c r="M76" i="41" s="1"/>
  <c r="N76" i="41"/>
  <c r="O76" i="41" s="1"/>
  <c r="P76" i="41" s="1"/>
  <c r="H77" i="41"/>
  <c r="I77" i="41"/>
  <c r="J77" i="41" s="1"/>
  <c r="K77" i="41" s="1"/>
  <c r="L77" i="41" s="1"/>
  <c r="M77" i="41" s="1"/>
  <c r="N77" i="41" s="1"/>
  <c r="O77" i="41" s="1"/>
  <c r="P77" i="41" s="1"/>
  <c r="H78" i="41"/>
  <c r="I78" i="41" s="1"/>
  <c r="J78" i="41" s="1"/>
  <c r="K78" i="41" s="1"/>
  <c r="L78" i="41"/>
  <c r="M78" i="41" s="1"/>
  <c r="N78" i="41" s="1"/>
  <c r="O78" i="41" s="1"/>
  <c r="P78" i="41" s="1"/>
  <c r="H79" i="41"/>
  <c r="I79" i="41"/>
  <c r="J79" i="41"/>
  <c r="K79" i="41" s="1"/>
  <c r="L79" i="41" s="1"/>
  <c r="M79" i="41" s="1"/>
  <c r="N79" i="41" s="1"/>
  <c r="O79" i="41"/>
  <c r="P79" i="41" s="1"/>
  <c r="H80" i="41"/>
  <c r="I80" i="41"/>
  <c r="J80" i="41" s="1"/>
  <c r="K80" i="41" s="1"/>
  <c r="L80" i="41" s="1"/>
  <c r="M80" i="41" s="1"/>
  <c r="N80" i="41" s="1"/>
  <c r="O80" i="41" s="1"/>
  <c r="P80" i="41" s="1"/>
  <c r="H81" i="41"/>
  <c r="I81" i="41"/>
  <c r="J81" i="41" s="1"/>
  <c r="K81" i="41" s="1"/>
  <c r="L81" i="41" s="1"/>
  <c r="M81" i="41" s="1"/>
  <c r="N81" i="41" s="1"/>
  <c r="O81" i="41" s="1"/>
  <c r="P81" i="41" s="1"/>
  <c r="H82" i="41"/>
  <c r="I82" i="41" s="1"/>
  <c r="J82" i="41" s="1"/>
  <c r="K82" i="41" s="1"/>
  <c r="L82" i="41" s="1"/>
  <c r="M82" i="41" s="1"/>
  <c r="N82" i="41" s="1"/>
  <c r="O82" i="41" s="1"/>
  <c r="P82" i="41" s="1"/>
  <c r="H83" i="41"/>
  <c r="I83" i="41"/>
  <c r="J83" i="41"/>
  <c r="K83" i="41" s="1"/>
  <c r="L83" i="41" s="1"/>
  <c r="M83" i="41" s="1"/>
  <c r="N83" i="41" s="1"/>
  <c r="O83" i="41" s="1"/>
  <c r="P83" i="41" s="1"/>
  <c r="H84" i="41"/>
  <c r="I84" i="41" s="1"/>
  <c r="J84" i="41" s="1"/>
  <c r="K84" i="41" s="1"/>
  <c r="L84" i="41" s="1"/>
  <c r="M84" i="41" s="1"/>
  <c r="N84" i="41" s="1"/>
  <c r="O84" i="41" s="1"/>
  <c r="P84" i="41" s="1"/>
  <c r="H85" i="41"/>
  <c r="I85" i="41"/>
  <c r="J85" i="41" s="1"/>
  <c r="K85" i="41" s="1"/>
  <c r="L85" i="41" s="1"/>
  <c r="M85" i="41"/>
  <c r="N85" i="41" s="1"/>
  <c r="O85" i="41" s="1"/>
  <c r="P85" i="41" s="1"/>
  <c r="H86" i="41"/>
  <c r="I86" i="41" s="1"/>
  <c r="J86" i="41" s="1"/>
  <c r="K86" i="41" s="1"/>
  <c r="L86" i="41" s="1"/>
  <c r="M86" i="41" s="1"/>
  <c r="N86" i="41" s="1"/>
  <c r="O86" i="41" s="1"/>
  <c r="P86" i="41" s="1"/>
  <c r="H87" i="41"/>
  <c r="I87" i="41"/>
  <c r="J87" i="41" s="1"/>
  <c r="K87" i="41" s="1"/>
  <c r="L87" i="41" s="1"/>
  <c r="M87" i="41" s="1"/>
  <c r="N87" i="41" s="1"/>
  <c r="O87" i="41"/>
  <c r="P87" i="41" s="1"/>
  <c r="H88" i="41"/>
  <c r="I88" i="41"/>
  <c r="J88" i="41"/>
  <c r="K88" i="41" s="1"/>
  <c r="L88" i="41" s="1"/>
  <c r="M88" i="41" s="1"/>
  <c r="N88" i="41" s="1"/>
  <c r="O88" i="41" s="1"/>
  <c r="P88" i="41" s="1"/>
  <c r="H89" i="41"/>
  <c r="I89" i="41" s="1"/>
  <c r="J89" i="41" s="1"/>
  <c r="K89" i="41" s="1"/>
  <c r="L89" i="41" s="1"/>
  <c r="M89" i="41" s="1"/>
  <c r="N89" i="41" s="1"/>
  <c r="O89" i="41" s="1"/>
  <c r="P89" i="41" s="1"/>
  <c r="H90" i="41"/>
  <c r="I90" i="41" s="1"/>
  <c r="J90" i="41"/>
  <c r="K90" i="41" s="1"/>
  <c r="L90" i="41" s="1"/>
  <c r="M90" i="41" s="1"/>
  <c r="N90" i="41"/>
  <c r="O90" i="41" s="1"/>
  <c r="P90" i="41" s="1"/>
  <c r="H91" i="41"/>
  <c r="I91" i="41"/>
  <c r="J91" i="41"/>
  <c r="K91" i="41" s="1"/>
  <c r="L91" i="41" s="1"/>
  <c r="M91" i="41" s="1"/>
  <c r="N91" i="41" s="1"/>
  <c r="O91" i="41" s="1"/>
  <c r="P91" i="41" s="1"/>
  <c r="H92" i="41"/>
  <c r="I92" i="41" s="1"/>
  <c r="J92" i="41" s="1"/>
  <c r="K92" i="41" s="1"/>
  <c r="L92" i="41" s="1"/>
  <c r="M92" i="41" s="1"/>
  <c r="N92" i="41" s="1"/>
  <c r="O92" i="41" s="1"/>
  <c r="P92" i="41" s="1"/>
  <c r="H93" i="41"/>
  <c r="I93" i="41"/>
  <c r="J93" i="41" s="1"/>
  <c r="K93" i="41" s="1"/>
  <c r="L93" i="41" s="1"/>
  <c r="M93" i="41"/>
  <c r="N93" i="41" s="1"/>
  <c r="O93" i="41" s="1"/>
  <c r="P93" i="41" s="1"/>
  <c r="H94" i="41"/>
  <c r="I94" i="41" s="1"/>
  <c r="J94" i="41" s="1"/>
  <c r="K94" i="41" s="1"/>
  <c r="L94" i="41" s="1"/>
  <c r="M94" i="41" s="1"/>
  <c r="N94" i="41" s="1"/>
  <c r="O94" i="41" s="1"/>
  <c r="P94" i="41" s="1"/>
  <c r="H95" i="41"/>
  <c r="I95" i="41"/>
  <c r="J95" i="41" s="1"/>
  <c r="K95" i="41" s="1"/>
  <c r="L95" i="41" s="1"/>
  <c r="M95" i="41" s="1"/>
  <c r="N95" i="41" s="1"/>
  <c r="O95" i="41" s="1"/>
  <c r="P95" i="41" s="1"/>
  <c r="H96" i="41"/>
  <c r="I96" i="41"/>
  <c r="J96" i="41"/>
  <c r="K96" i="41" s="1"/>
  <c r="L96" i="41" s="1"/>
  <c r="M96" i="41"/>
  <c r="N96" i="41" s="1"/>
  <c r="O96" i="41" s="1"/>
  <c r="P96" i="41" s="1"/>
  <c r="H97" i="41"/>
  <c r="I97" i="41" s="1"/>
  <c r="J97" i="41" s="1"/>
  <c r="K97" i="41" s="1"/>
  <c r="L97" i="41"/>
  <c r="M97" i="41" s="1"/>
  <c r="N97" i="41" s="1"/>
  <c r="O97" i="41" s="1"/>
  <c r="P97" i="41" s="1"/>
  <c r="H98" i="41"/>
  <c r="I98" i="41" s="1"/>
  <c r="J98" i="41"/>
  <c r="K98" i="41" s="1"/>
  <c r="L98" i="41" s="1"/>
  <c r="M98" i="41" s="1"/>
  <c r="N98" i="41" s="1"/>
  <c r="O98" i="41" s="1"/>
  <c r="P98" i="41" s="1"/>
  <c r="H99" i="41"/>
  <c r="I99" i="41"/>
  <c r="J99" i="41"/>
  <c r="K99" i="41" s="1"/>
  <c r="L99" i="41" s="1"/>
  <c r="M99" i="41" s="1"/>
  <c r="N99" i="41" s="1"/>
  <c r="O99" i="41" s="1"/>
  <c r="P99" i="41" s="1"/>
  <c r="H100" i="41"/>
  <c r="I100" i="41" s="1"/>
  <c r="J100" i="41" s="1"/>
  <c r="K100" i="41" s="1"/>
  <c r="L100" i="41"/>
  <c r="M100" i="41" s="1"/>
  <c r="N100" i="41" s="1"/>
  <c r="O100" i="41" s="1"/>
  <c r="P100" i="41" s="1"/>
  <c r="H101" i="41"/>
  <c r="I101" i="41"/>
  <c r="J101" i="41" s="1"/>
  <c r="K101" i="41" s="1"/>
  <c r="L101" i="41" s="1"/>
  <c r="M101" i="41" s="1"/>
  <c r="N101" i="41" s="1"/>
  <c r="O101" i="41" s="1"/>
  <c r="P101" i="41" s="1"/>
  <c r="H102" i="41"/>
  <c r="I102" i="41" s="1"/>
  <c r="J102" i="41" s="1"/>
  <c r="K102" i="41" s="1"/>
  <c r="L102" i="41" s="1"/>
  <c r="M102" i="41" s="1"/>
  <c r="N102" i="41" s="1"/>
  <c r="O102" i="41" s="1"/>
  <c r="P102" i="41" s="1"/>
  <c r="H103" i="41"/>
  <c r="I103" i="41"/>
  <c r="J103" i="41" s="1"/>
  <c r="K103" i="41" s="1"/>
  <c r="L103" i="41" s="1"/>
  <c r="M103" i="41" s="1"/>
  <c r="N103" i="41" s="1"/>
  <c r="O103" i="41" s="1"/>
  <c r="P103" i="41" s="1"/>
  <c r="H104" i="41"/>
  <c r="I104" i="41"/>
  <c r="J104" i="41"/>
  <c r="K104" i="41" s="1"/>
  <c r="L104" i="41" s="1"/>
  <c r="M104" i="41"/>
  <c r="N104" i="41" s="1"/>
  <c r="O104" i="41" s="1"/>
  <c r="P104" i="41" s="1"/>
  <c r="H105" i="41"/>
  <c r="I105" i="41" s="1"/>
  <c r="J105" i="41" s="1"/>
  <c r="K105" i="41" s="1"/>
  <c r="L105" i="41" s="1"/>
  <c r="M105" i="41" s="1"/>
  <c r="N105" i="41" s="1"/>
  <c r="O105" i="41" s="1"/>
  <c r="P105" i="41" s="1"/>
  <c r="H106" i="41"/>
  <c r="I106" i="41" s="1"/>
  <c r="J106" i="41"/>
  <c r="K106" i="41" s="1"/>
  <c r="L106" i="41" s="1"/>
  <c r="M106" i="41" s="1"/>
  <c r="N106" i="41"/>
  <c r="O106" i="41" s="1"/>
  <c r="P106" i="41" s="1"/>
  <c r="H107" i="41"/>
  <c r="I107" i="41"/>
  <c r="J107" i="41"/>
  <c r="K107" i="41" s="1"/>
  <c r="L107" i="41" s="1"/>
  <c r="M107" i="41" s="1"/>
  <c r="N107" i="41" s="1"/>
  <c r="O107" i="41" s="1"/>
  <c r="P107" i="41" s="1"/>
  <c r="H108" i="41"/>
  <c r="I108" i="41" s="1"/>
  <c r="J108" i="41" s="1"/>
  <c r="K108" i="41" s="1"/>
  <c r="L108" i="41" s="1"/>
  <c r="M108" i="41" s="1"/>
  <c r="N108" i="41" s="1"/>
  <c r="O108" i="41" s="1"/>
  <c r="P108" i="41" s="1"/>
  <c r="H109" i="41"/>
  <c r="I109" i="41"/>
  <c r="J109" i="41" s="1"/>
  <c r="K109" i="41" s="1"/>
  <c r="L109" i="41" s="1"/>
  <c r="M109" i="41"/>
  <c r="N109" i="41" s="1"/>
  <c r="O109" i="41" s="1"/>
  <c r="P109" i="41" s="1"/>
  <c r="H110" i="41"/>
  <c r="I110" i="41" s="1"/>
  <c r="J110" i="41" s="1"/>
  <c r="K110" i="41" s="1"/>
  <c r="L110" i="41" s="1"/>
  <c r="M110" i="41" s="1"/>
  <c r="N110" i="41" s="1"/>
  <c r="O110" i="41" s="1"/>
  <c r="P110" i="41" s="1"/>
  <c r="H111" i="41"/>
  <c r="I111" i="41"/>
  <c r="J111" i="41" s="1"/>
  <c r="K111" i="41" s="1"/>
  <c r="L111" i="41" s="1"/>
  <c r="M111" i="41" s="1"/>
  <c r="N111" i="41" s="1"/>
  <c r="O111" i="41" s="1"/>
  <c r="P111" i="41" s="1"/>
  <c r="H112" i="41"/>
  <c r="I112" i="41"/>
  <c r="J112" i="41"/>
  <c r="K112" i="41" s="1"/>
  <c r="L112" i="41" s="1"/>
  <c r="M112" i="41"/>
  <c r="N112" i="41" s="1"/>
  <c r="O112" i="41" s="1"/>
  <c r="P112" i="41" s="1"/>
  <c r="H113" i="41"/>
  <c r="I113" i="41" s="1"/>
  <c r="J113" i="41" s="1"/>
  <c r="K113" i="41" s="1"/>
  <c r="L113" i="41"/>
  <c r="M113" i="41" s="1"/>
  <c r="N113" i="41" s="1"/>
  <c r="O113" i="41" s="1"/>
  <c r="P113" i="41" s="1"/>
  <c r="H114" i="41"/>
  <c r="I114" i="41" s="1"/>
  <c r="J114" i="41"/>
  <c r="K114" i="41" s="1"/>
  <c r="L114" i="41" s="1"/>
  <c r="M114" i="41" s="1"/>
  <c r="N114" i="41" s="1"/>
  <c r="O114" i="41" s="1"/>
  <c r="P114" i="41" s="1"/>
  <c r="H115" i="41"/>
  <c r="I115" i="41"/>
  <c r="J115" i="41"/>
  <c r="K115" i="41" s="1"/>
  <c r="L115" i="41" s="1"/>
  <c r="M115" i="41" s="1"/>
  <c r="N115" i="41" s="1"/>
  <c r="O115" i="41" s="1"/>
  <c r="P115" i="41" s="1"/>
  <c r="H116" i="41"/>
  <c r="I116" i="41" s="1"/>
  <c r="J116" i="41" s="1"/>
  <c r="K116" i="41" s="1"/>
  <c r="L116" i="41"/>
  <c r="M116" i="41" s="1"/>
  <c r="N116" i="41" s="1"/>
  <c r="O116" i="41" s="1"/>
  <c r="P116" i="41" s="1"/>
  <c r="H117" i="41"/>
  <c r="I117" i="41"/>
  <c r="J117" i="41" s="1"/>
  <c r="K117" i="41" s="1"/>
  <c r="L117" i="41" s="1"/>
  <c r="M117" i="41" s="1"/>
  <c r="N117" i="41" s="1"/>
  <c r="O117" i="41" s="1"/>
  <c r="P117" i="41" s="1"/>
  <c r="H118" i="41"/>
  <c r="I118" i="41" s="1"/>
  <c r="J118" i="41" s="1"/>
  <c r="K118" i="41" s="1"/>
  <c r="L118" i="41" s="1"/>
  <c r="M118" i="41" s="1"/>
  <c r="N118" i="41" s="1"/>
  <c r="O118" i="41" s="1"/>
  <c r="P118" i="41" s="1"/>
  <c r="H119" i="41"/>
  <c r="I119" i="41"/>
  <c r="J119" i="41" s="1"/>
  <c r="K119" i="41" s="1"/>
  <c r="L119" i="41" s="1"/>
  <c r="M119" i="41" s="1"/>
  <c r="N119" i="41" s="1"/>
  <c r="O119" i="41" s="1"/>
  <c r="P119" i="41" s="1"/>
  <c r="H120" i="41"/>
  <c r="I120" i="41"/>
  <c r="J120" i="41"/>
  <c r="K120" i="41" s="1"/>
  <c r="L120" i="41" s="1"/>
  <c r="M120" i="41"/>
  <c r="N120" i="41" s="1"/>
  <c r="O120" i="41" s="1"/>
  <c r="P120" i="41" s="1"/>
  <c r="H121" i="41"/>
  <c r="I121" i="41" s="1"/>
  <c r="J121" i="41" s="1"/>
  <c r="K121" i="41" s="1"/>
  <c r="L121" i="41" s="1"/>
  <c r="M121" i="41" s="1"/>
  <c r="N121" i="41" s="1"/>
  <c r="O121" i="41" s="1"/>
  <c r="P121" i="41" s="1"/>
  <c r="H124" i="41"/>
  <c r="I124" i="41"/>
  <c r="J124" i="41" s="1"/>
  <c r="K124" i="41" s="1"/>
  <c r="L124" i="41"/>
  <c r="M124" i="41" s="1"/>
  <c r="N124" i="41" s="1"/>
  <c r="O124" i="41" s="1"/>
  <c r="P124" i="41" s="1"/>
  <c r="H125" i="41"/>
  <c r="I125" i="41" s="1"/>
  <c r="J125" i="41" s="1"/>
  <c r="K125" i="41"/>
  <c r="L125" i="41" s="1"/>
  <c r="M125" i="41" s="1"/>
  <c r="N125" i="41" s="1"/>
  <c r="O125" i="41" s="1"/>
  <c r="P125" i="41" s="1"/>
  <c r="H126" i="41"/>
  <c r="I126" i="41"/>
  <c r="J126" i="41"/>
  <c r="K126" i="41" s="1"/>
  <c r="L126" i="41" s="1"/>
  <c r="M126" i="41" s="1"/>
  <c r="N126" i="41" s="1"/>
  <c r="O126" i="41" s="1"/>
  <c r="P126" i="41" s="1"/>
  <c r="H127" i="41"/>
  <c r="I127" i="41"/>
  <c r="J127" i="41" s="1"/>
  <c r="K127" i="41" s="1"/>
  <c r="L127" i="41" s="1"/>
  <c r="M127" i="41" s="1"/>
  <c r="N127" i="41" s="1"/>
  <c r="O127" i="41" s="1"/>
  <c r="P127" i="41" s="1"/>
  <c r="H128" i="41"/>
  <c r="I128" i="41" s="1"/>
  <c r="J128" i="41"/>
  <c r="K128" i="41" s="1"/>
  <c r="L128" i="41" s="1"/>
  <c r="M128" i="41" s="1"/>
  <c r="N128" i="41" s="1"/>
  <c r="O128" i="41" s="1"/>
  <c r="P128" i="41" s="1"/>
  <c r="H129" i="41"/>
  <c r="I129" i="41"/>
  <c r="J129" i="41" s="1"/>
  <c r="K129" i="41" s="1"/>
  <c r="L129" i="41" s="1"/>
  <c r="M129" i="41" s="1"/>
  <c r="N129" i="41" s="1"/>
  <c r="O129" i="41" s="1"/>
  <c r="P129" i="41" s="1"/>
  <c r="H130" i="41"/>
  <c r="I130" i="41" s="1"/>
  <c r="J130" i="41" s="1"/>
  <c r="K130" i="41" s="1"/>
  <c r="L130" i="41" s="1"/>
  <c r="M130" i="41" s="1"/>
  <c r="N130" i="41" s="1"/>
  <c r="O130" i="41" s="1"/>
  <c r="P130" i="41" s="1"/>
  <c r="H131" i="41"/>
  <c r="I131" i="41"/>
  <c r="J131" i="41" s="1"/>
  <c r="K131" i="41" s="1"/>
  <c r="L131" i="41" s="1"/>
  <c r="M131" i="41" s="1"/>
  <c r="N131" i="41" s="1"/>
  <c r="O131" i="41" s="1"/>
  <c r="P131" i="41" s="1"/>
  <c r="H132" i="41"/>
  <c r="I132" i="41"/>
  <c r="J132" i="41" s="1"/>
  <c r="K132" i="41" s="1"/>
  <c r="L132" i="41" s="1"/>
  <c r="M132" i="41" s="1"/>
  <c r="N132" i="41" s="1"/>
  <c r="O132" i="41" s="1"/>
  <c r="P132" i="41" s="1"/>
  <c r="H133" i="41"/>
  <c r="I133" i="41" s="1"/>
  <c r="J133" i="41" s="1"/>
  <c r="K133" i="41"/>
  <c r="L133" i="41" s="1"/>
  <c r="M133" i="41" s="1"/>
  <c r="N133" i="41" s="1"/>
  <c r="O133" i="41" s="1"/>
  <c r="P133" i="41" s="1"/>
  <c r="H134" i="41"/>
  <c r="I134" i="41"/>
  <c r="J134" i="41"/>
  <c r="K134" i="41" s="1"/>
  <c r="L134" i="41" s="1"/>
  <c r="M134" i="41" s="1"/>
  <c r="N134" i="41" s="1"/>
  <c r="O134" i="41" s="1"/>
  <c r="P134" i="41" s="1"/>
  <c r="H135" i="41"/>
  <c r="I135" i="41"/>
  <c r="J135" i="41" s="1"/>
  <c r="K135" i="41" s="1"/>
  <c r="L135" i="41" s="1"/>
  <c r="M135" i="41" s="1"/>
  <c r="N135" i="41" s="1"/>
  <c r="O135" i="41" s="1"/>
  <c r="P135" i="41" s="1"/>
  <c r="H136" i="41"/>
  <c r="I136" i="41"/>
  <c r="J136" i="41"/>
  <c r="K136" i="41" s="1"/>
  <c r="L136" i="41" s="1"/>
  <c r="M136" i="41" s="1"/>
  <c r="N136" i="41" s="1"/>
  <c r="O136" i="41" s="1"/>
  <c r="P136" i="41" s="1"/>
  <c r="H137" i="41"/>
  <c r="I137" i="41"/>
  <c r="J137" i="41" s="1"/>
  <c r="K137" i="41" s="1"/>
  <c r="L137" i="41" s="1"/>
  <c r="M137" i="41" s="1"/>
  <c r="N137" i="41" s="1"/>
  <c r="O137" i="41" s="1"/>
  <c r="P137" i="41" s="1"/>
  <c r="H138" i="41"/>
  <c r="I138" i="41" s="1"/>
  <c r="J138" i="41"/>
  <c r="K138" i="41" s="1"/>
  <c r="L138" i="41" s="1"/>
  <c r="M138" i="41" s="1"/>
  <c r="N138" i="41" s="1"/>
  <c r="O138" i="41" s="1"/>
  <c r="P138" i="41" s="1"/>
  <c r="H139" i="41"/>
  <c r="I139" i="41"/>
  <c r="J139" i="41" s="1"/>
  <c r="K139" i="41" s="1"/>
  <c r="L139" i="41" s="1"/>
  <c r="M139" i="41" s="1"/>
  <c r="N139" i="41" s="1"/>
  <c r="O139" i="41" s="1"/>
  <c r="P139" i="41" s="1"/>
  <c r="H140" i="41"/>
  <c r="I140" i="41"/>
  <c r="J140" i="41" s="1"/>
  <c r="K140" i="41" s="1"/>
  <c r="L140" i="41"/>
  <c r="M140" i="41" s="1"/>
  <c r="N140" i="41" s="1"/>
  <c r="O140" i="41" s="1"/>
  <c r="P140" i="41" s="1"/>
  <c r="H141" i="41"/>
  <c r="I141" i="41" s="1"/>
  <c r="J141" i="41" s="1"/>
  <c r="K141" i="41"/>
  <c r="L141" i="41" s="1"/>
  <c r="M141" i="41" s="1"/>
  <c r="N141" i="41" s="1"/>
  <c r="O141" i="41" s="1"/>
  <c r="P141" i="41" s="1"/>
  <c r="H142" i="41"/>
  <c r="I142" i="41"/>
  <c r="J142" i="41"/>
  <c r="K142" i="41"/>
  <c r="L142" i="41" s="1"/>
  <c r="M142" i="41" s="1"/>
  <c r="N142" i="41" s="1"/>
  <c r="O142" i="41" s="1"/>
  <c r="P142" i="41" s="1"/>
  <c r="H143" i="41"/>
  <c r="I143" i="41"/>
  <c r="J143" i="41"/>
  <c r="K143" i="41" s="1"/>
  <c r="L143" i="41" s="1"/>
  <c r="M143" i="41" s="1"/>
  <c r="N143" i="41" s="1"/>
  <c r="O143" i="41" s="1"/>
  <c r="P143" i="41" s="1"/>
  <c r="H144" i="41"/>
  <c r="I144" i="41"/>
  <c r="J144" i="41" s="1"/>
  <c r="K144" i="41" s="1"/>
  <c r="L144" i="41" s="1"/>
  <c r="M144" i="41" s="1"/>
  <c r="N144" i="41" s="1"/>
  <c r="O144" i="41" s="1"/>
  <c r="P144" i="41" s="1"/>
  <c r="H145" i="41"/>
  <c r="I145" i="41" s="1"/>
  <c r="J145" i="41" s="1"/>
  <c r="K145" i="41" s="1"/>
  <c r="L145" i="41" s="1"/>
  <c r="M145" i="41" s="1"/>
  <c r="N145" i="41" s="1"/>
  <c r="O145" i="41" s="1"/>
  <c r="P145" i="41" s="1"/>
  <c r="H146" i="41"/>
  <c r="I146" i="41" s="1"/>
  <c r="J146" i="41" s="1"/>
  <c r="K146" i="41" s="1"/>
  <c r="L146" i="41" s="1"/>
  <c r="M146" i="41" s="1"/>
  <c r="N146" i="41" s="1"/>
  <c r="O146" i="41" s="1"/>
  <c r="P146" i="41" s="1"/>
  <c r="H147" i="41"/>
  <c r="I147" i="41"/>
  <c r="J147" i="41"/>
  <c r="K147" i="41" s="1"/>
  <c r="L147" i="41" s="1"/>
  <c r="M147" i="41" s="1"/>
  <c r="N147" i="41" s="1"/>
  <c r="O147" i="41" s="1"/>
  <c r="P147" i="41" s="1"/>
  <c r="H148" i="41"/>
  <c r="I148" i="41"/>
  <c r="J148" i="41" s="1"/>
  <c r="K148" i="41" s="1"/>
  <c r="L148" i="41" s="1"/>
  <c r="M148" i="41" s="1"/>
  <c r="N148" i="41" s="1"/>
  <c r="O148" i="41" s="1"/>
  <c r="P148" i="41" s="1"/>
  <c r="H149" i="41"/>
  <c r="I149" i="41" s="1"/>
  <c r="J149" i="41" s="1"/>
  <c r="K149" i="41" s="1"/>
  <c r="L149" i="41" s="1"/>
  <c r="M149" i="41" s="1"/>
  <c r="N149" i="41" s="1"/>
  <c r="O149" i="41" s="1"/>
  <c r="P149" i="41" s="1"/>
  <c r="H150" i="41"/>
  <c r="I150" i="41"/>
  <c r="J150" i="41"/>
  <c r="K150" i="41" s="1"/>
  <c r="L150" i="41" s="1"/>
  <c r="M150" i="41" s="1"/>
  <c r="N150" i="41" s="1"/>
  <c r="O150" i="41" s="1"/>
  <c r="P150" i="41" s="1"/>
  <c r="H151" i="41"/>
  <c r="I151" i="41"/>
  <c r="J151" i="41" s="1"/>
  <c r="K151" i="41" s="1"/>
  <c r="L151" i="41" s="1"/>
  <c r="M151" i="41" s="1"/>
  <c r="N151" i="41" s="1"/>
  <c r="O151" i="41" s="1"/>
  <c r="P151" i="41" s="1"/>
  <c r="H152" i="41"/>
  <c r="I152" i="41" s="1"/>
  <c r="J152" i="41" s="1"/>
  <c r="K152" i="41" s="1"/>
  <c r="L152" i="41" s="1"/>
  <c r="M152" i="41" s="1"/>
  <c r="N152" i="41" s="1"/>
  <c r="O152" i="41" s="1"/>
  <c r="P152" i="41" s="1"/>
  <c r="H153" i="41"/>
  <c r="I153" i="41"/>
  <c r="J153" i="41" s="1"/>
  <c r="K153" i="41"/>
  <c r="L153" i="41" s="1"/>
  <c r="M153" i="41" s="1"/>
  <c r="N153" i="41" s="1"/>
  <c r="O153" i="41" s="1"/>
  <c r="P153" i="41" s="1"/>
  <c r="H154" i="41"/>
  <c r="I154" i="41" s="1"/>
  <c r="J154" i="41"/>
  <c r="K154" i="41" s="1"/>
  <c r="L154" i="41" s="1"/>
  <c r="M154" i="41" s="1"/>
  <c r="N154" i="41" s="1"/>
  <c r="O154" i="41" s="1"/>
  <c r="P154" i="41" s="1"/>
  <c r="H155" i="41"/>
  <c r="I155" i="41"/>
  <c r="J155" i="41" s="1"/>
  <c r="K155" i="41" s="1"/>
  <c r="L155" i="41" s="1"/>
  <c r="M155" i="41" s="1"/>
  <c r="N155" i="41" s="1"/>
  <c r="O155" i="41" s="1"/>
  <c r="P155" i="41" s="1"/>
  <c r="H156" i="41"/>
  <c r="I156" i="41" s="1"/>
  <c r="J156" i="41" s="1"/>
  <c r="K156" i="41" s="1"/>
  <c r="L156" i="41" s="1"/>
  <c r="M156" i="41" s="1"/>
  <c r="N156" i="41" s="1"/>
  <c r="O156" i="41" s="1"/>
  <c r="P156" i="41" s="1"/>
  <c r="H157" i="41"/>
  <c r="I157" i="41" s="1"/>
  <c r="J157" i="41" s="1"/>
  <c r="K157" i="41"/>
  <c r="L157" i="41"/>
  <c r="M157" i="41" s="1"/>
  <c r="N157" i="41" s="1"/>
  <c r="O157" i="41" s="1"/>
  <c r="P157" i="41" s="1"/>
  <c r="H158" i="41"/>
  <c r="I158" i="41" s="1"/>
  <c r="J158" i="41"/>
  <c r="K158" i="41" s="1"/>
  <c r="L158" i="41" s="1"/>
  <c r="M158" i="41" s="1"/>
  <c r="N158" i="41" s="1"/>
  <c r="O158" i="41" s="1"/>
  <c r="P158" i="41" s="1"/>
  <c r="H159" i="41"/>
  <c r="I159" i="41"/>
  <c r="J159" i="41" s="1"/>
  <c r="K159" i="41" s="1"/>
  <c r="L159" i="41" s="1"/>
  <c r="M159" i="41" s="1"/>
  <c r="N159" i="41" s="1"/>
  <c r="O159" i="41" s="1"/>
  <c r="P159" i="41" s="1"/>
  <c r="H160" i="41"/>
  <c r="I160" i="41" s="1"/>
  <c r="J160" i="41" s="1"/>
  <c r="K160" i="41" s="1"/>
  <c r="L160" i="41" s="1"/>
  <c r="M160" i="41" s="1"/>
  <c r="N160" i="41" s="1"/>
  <c r="O160" i="41" s="1"/>
  <c r="P160" i="41" s="1"/>
  <c r="H161" i="41"/>
  <c r="I161" i="41"/>
  <c r="J161" i="41" s="1"/>
  <c r="K161" i="41" s="1"/>
  <c r="L161" i="41" s="1"/>
  <c r="M161" i="41" s="1"/>
  <c r="N161" i="41" s="1"/>
  <c r="O161" i="41" s="1"/>
  <c r="P161" i="41" s="1"/>
  <c r="H162" i="41"/>
  <c r="I162" i="41" s="1"/>
  <c r="J162" i="41" s="1"/>
  <c r="K162" i="41"/>
  <c r="L162" i="41" s="1"/>
  <c r="M162" i="41" s="1"/>
  <c r="N162" i="41" s="1"/>
  <c r="O162" i="41" s="1"/>
  <c r="P162" i="41" s="1"/>
  <c r="H163" i="41"/>
  <c r="I163" i="41" s="1"/>
  <c r="J163" i="41"/>
  <c r="K163" i="41" s="1"/>
  <c r="L163" i="41" s="1"/>
  <c r="M163" i="41" s="1"/>
  <c r="N163" i="41" s="1"/>
  <c r="O163" i="41" s="1"/>
  <c r="P163" i="41" s="1"/>
  <c r="H164" i="41"/>
  <c r="I164" i="41"/>
  <c r="J164" i="41" s="1"/>
  <c r="K164" i="41" s="1"/>
  <c r="L164" i="41" s="1"/>
  <c r="M164" i="41" s="1"/>
  <c r="N164" i="41" s="1"/>
  <c r="O164" i="41" s="1"/>
  <c r="P164" i="41" s="1"/>
  <c r="H165" i="41"/>
  <c r="I165" i="41" s="1"/>
  <c r="J165" i="41" s="1"/>
  <c r="K165" i="41" s="1"/>
  <c r="L165" i="41" s="1"/>
  <c r="M165" i="41" s="1"/>
  <c r="N165" i="41" s="1"/>
  <c r="O165" i="41" s="1"/>
  <c r="P165" i="41" s="1"/>
  <c r="H166" i="41"/>
  <c r="I166" i="41"/>
  <c r="J166" i="41" s="1"/>
  <c r="K166" i="41" s="1"/>
  <c r="L166" i="41" s="1"/>
  <c r="M166" i="41" s="1"/>
  <c r="N166" i="41" s="1"/>
  <c r="O166" i="41" s="1"/>
  <c r="P166" i="41" s="1"/>
  <c r="H167" i="41"/>
  <c r="I167" i="41" s="1"/>
  <c r="J167" i="41" s="1"/>
  <c r="K167" i="41" s="1"/>
  <c r="L167" i="41" s="1"/>
  <c r="M167" i="41" s="1"/>
  <c r="N167" i="41" s="1"/>
  <c r="O167" i="41" s="1"/>
  <c r="P167" i="41" s="1"/>
  <c r="H168" i="41"/>
  <c r="I168" i="41"/>
  <c r="J168" i="41"/>
  <c r="K168" i="41" s="1"/>
  <c r="L168" i="41" s="1"/>
  <c r="M168" i="41" s="1"/>
  <c r="N168" i="41" s="1"/>
  <c r="O168" i="41" s="1"/>
  <c r="P168" i="41" s="1"/>
  <c r="H169" i="41"/>
  <c r="I169" i="41"/>
  <c r="J169" i="41" s="1"/>
  <c r="K169" i="41" s="1"/>
  <c r="L169" i="41"/>
  <c r="M169" i="41" s="1"/>
  <c r="N169" i="41" s="1"/>
  <c r="O169" i="41" s="1"/>
  <c r="P169" i="41" s="1"/>
  <c r="H170" i="41"/>
  <c r="I170" i="41" s="1"/>
  <c r="J170" i="41" s="1"/>
  <c r="K170" i="41" s="1"/>
  <c r="L170" i="41" s="1"/>
  <c r="M170" i="41" s="1"/>
  <c r="N170" i="41" s="1"/>
  <c r="O170" i="41" s="1"/>
  <c r="P170" i="41" s="1"/>
  <c r="H171" i="41"/>
  <c r="I171" i="41" s="1"/>
  <c r="J171" i="41" s="1"/>
  <c r="K171" i="41" s="1"/>
  <c r="L171" i="41" s="1"/>
  <c r="M171" i="41" s="1"/>
  <c r="N171" i="41" s="1"/>
  <c r="O171" i="41" s="1"/>
  <c r="P171" i="41" s="1"/>
  <c r="H172" i="41"/>
  <c r="I172" i="41"/>
  <c r="J172" i="41" s="1"/>
  <c r="K172" i="41" s="1"/>
  <c r="L172" i="41" s="1"/>
  <c r="M172" i="41" s="1"/>
  <c r="N172" i="41" s="1"/>
  <c r="O172" i="41" s="1"/>
  <c r="P172" i="41" s="1"/>
  <c r="H173" i="41"/>
  <c r="I173" i="41" s="1"/>
  <c r="J173" i="41" s="1"/>
  <c r="K173" i="41" s="1"/>
  <c r="L173" i="41" s="1"/>
  <c r="M173" i="41" s="1"/>
  <c r="N173" i="41" s="1"/>
  <c r="O173" i="41" s="1"/>
  <c r="P173" i="41"/>
  <c r="H174" i="41"/>
  <c r="I174" i="41"/>
  <c r="J174" i="41" s="1"/>
  <c r="K174" i="41" s="1"/>
  <c r="L174" i="41" s="1"/>
  <c r="M174" i="41" s="1"/>
  <c r="N174" i="41" s="1"/>
  <c r="O174" i="41"/>
  <c r="P174" i="41" s="1"/>
  <c r="H175" i="41"/>
  <c r="I175" i="41" s="1"/>
  <c r="J175" i="41" s="1"/>
  <c r="K175" i="41" s="1"/>
  <c r="L175" i="41" s="1"/>
  <c r="M175" i="41" s="1"/>
  <c r="N175" i="41" s="1"/>
  <c r="O175" i="41" s="1"/>
  <c r="P175" i="41" s="1"/>
  <c r="H176" i="41"/>
  <c r="I176" i="41"/>
  <c r="J176" i="41"/>
  <c r="K176" i="41" s="1"/>
  <c r="L176" i="41" s="1"/>
  <c r="M176" i="41" s="1"/>
  <c r="N176" i="41" s="1"/>
  <c r="O176" i="41" s="1"/>
  <c r="P176" i="41" s="1"/>
  <c r="B188" i="41"/>
  <c r="C189" i="41"/>
  <c r="C190" i="41"/>
  <c r="B192" i="41"/>
  <c r="C193" i="41"/>
  <c r="C194" i="41"/>
  <c r="C195" i="41"/>
  <c r="C196" i="41"/>
  <c r="C197" i="41"/>
  <c r="C198" i="41"/>
  <c r="C199" i="41"/>
  <c r="C200" i="41"/>
  <c r="B202" i="41"/>
  <c r="C203" i="41"/>
  <c r="C204" i="41"/>
  <c r="C205" i="41"/>
  <c r="C206" i="41"/>
  <c r="C207" i="41"/>
  <c r="C208" i="41"/>
  <c r="C209" i="41"/>
  <c r="C210" i="41"/>
  <c r="C211" i="41"/>
  <c r="C212" i="41"/>
  <c r="C213" i="41"/>
  <c r="C214" i="41"/>
  <c r="C215" i="41"/>
  <c r="C216" i="41"/>
  <c r="C217" i="41"/>
  <c r="C218" i="41"/>
  <c r="C219" i="41"/>
  <c r="C220" i="41"/>
  <c r="C221" i="41"/>
  <c r="C222" i="41"/>
  <c r="C223" i="41"/>
  <c r="C224" i="41"/>
  <c r="C225" i="41"/>
  <c r="C226" i="41"/>
  <c r="C227" i="41"/>
  <c r="C228" i="41"/>
  <c r="C229" i="41"/>
  <c r="B231" i="41"/>
  <c r="C232" i="41"/>
  <c r="C233" i="41"/>
  <c r="C234" i="41"/>
  <c r="C235" i="41"/>
  <c r="C236" i="41"/>
  <c r="C237" i="41"/>
  <c r="C238" i="41"/>
  <c r="C239" i="41"/>
  <c r="C240" i="41"/>
  <c r="C241" i="41"/>
  <c r="C242" i="41"/>
  <c r="C243" i="41"/>
  <c r="C244" i="41"/>
  <c r="C245" i="41"/>
  <c r="C246" i="41"/>
  <c r="C247" i="41"/>
  <c r="C248" i="41"/>
  <c r="C249" i="41"/>
  <c r="C250" i="41"/>
  <c r="C251" i="41"/>
  <c r="C252" i="41"/>
  <c r="C253" i="41"/>
  <c r="C254" i="41"/>
  <c r="C255" i="41"/>
  <c r="C256" i="41"/>
  <c r="C257" i="41"/>
  <c r="C258" i="41"/>
  <c r="C259" i="41"/>
  <c r="C260" i="41"/>
  <c r="C261" i="41"/>
  <c r="C262" i="41"/>
  <c r="C263" i="41"/>
  <c r="C264" i="41"/>
  <c r="C265" i="41"/>
  <c r="C266" i="41"/>
  <c r="C267" i="41"/>
  <c r="C268" i="41"/>
  <c r="C269" i="41"/>
  <c r="C270" i="41"/>
  <c r="C271" i="41"/>
  <c r="C272" i="41"/>
  <c r="C273" i="41"/>
  <c r="C274" i="41"/>
  <c r="C275" i="41"/>
  <c r="C276" i="41"/>
  <c r="C277" i="41"/>
  <c r="C278" i="41"/>
  <c r="C279" i="41"/>
  <c r="C280" i="41"/>
  <c r="C281" i="41"/>
  <c r="C282" i="41"/>
  <c r="C283" i="41"/>
  <c r="C284" i="41"/>
  <c r="C285" i="41"/>
  <c r="C286" i="41"/>
  <c r="C287" i="41"/>
  <c r="C288" i="41"/>
  <c r="C289" i="41"/>
  <c r="C290" i="41"/>
  <c r="C291" i="41"/>
  <c r="C292" i="41"/>
  <c r="C293" i="41"/>
  <c r="C294" i="41"/>
  <c r="C295" i="41"/>
  <c r="C296" i="41"/>
  <c r="C297" i="41"/>
  <c r="C298" i="41"/>
  <c r="B300" i="41"/>
  <c r="C301" i="41"/>
  <c r="C302" i="41"/>
  <c r="C303" i="41"/>
  <c r="C304" i="41"/>
  <c r="C305" i="41"/>
  <c r="C306" i="41"/>
  <c r="C307" i="41"/>
  <c r="C308" i="41"/>
  <c r="C309" i="41"/>
  <c r="C310" i="41"/>
  <c r="C311" i="41"/>
  <c r="C312" i="41"/>
  <c r="C313" i="41"/>
  <c r="C314" i="41"/>
  <c r="C315" i="41"/>
  <c r="C316" i="41"/>
  <c r="C317" i="41"/>
  <c r="C318" i="41"/>
  <c r="C319" i="41"/>
  <c r="C320" i="41"/>
  <c r="C321" i="41"/>
  <c r="C322" i="41"/>
  <c r="C323" i="41"/>
  <c r="C324" i="41"/>
  <c r="C325" i="41"/>
  <c r="C326" i="41"/>
  <c r="C327" i="41"/>
  <c r="C328" i="41"/>
  <c r="C329" i="41"/>
  <c r="C330" i="41"/>
  <c r="C331" i="41"/>
  <c r="C332" i="41"/>
  <c r="C333" i="41"/>
  <c r="C334" i="41"/>
  <c r="C335" i="41"/>
  <c r="C336" i="41"/>
  <c r="C337" i="41"/>
  <c r="C338" i="41"/>
  <c r="C339" i="41"/>
  <c r="C340" i="41"/>
  <c r="C341" i="41"/>
  <c r="C342" i="41"/>
  <c r="C343" i="41"/>
  <c r="C344" i="41"/>
  <c r="C345" i="41"/>
  <c r="C346" i="41"/>
  <c r="C347" i="41"/>
  <c r="C348" i="41"/>
  <c r="C349" i="41"/>
  <c r="C350" i="41"/>
  <c r="C351" i="41"/>
  <c r="C352" i="41"/>
  <c r="C353" i="41"/>
  <c r="I1" i="40"/>
  <c r="J1" i="40"/>
  <c r="K1" i="40" s="1"/>
  <c r="L1" i="40" s="1"/>
  <c r="M1" i="40" s="1"/>
  <c r="N1" i="40"/>
  <c r="O1" i="40" s="1"/>
  <c r="P1" i="40" s="1"/>
  <c r="H11" i="40"/>
  <c r="H354" i="40" s="1"/>
  <c r="H523" i="40" s="1"/>
  <c r="I11" i="40"/>
  <c r="J11" i="40"/>
  <c r="K11" i="40"/>
  <c r="L11" i="40"/>
  <c r="M11" i="40"/>
  <c r="N11" i="40"/>
  <c r="O11" i="40"/>
  <c r="P11" i="40"/>
  <c r="H12" i="40"/>
  <c r="I12" i="40"/>
  <c r="J12" i="40"/>
  <c r="K12" i="40"/>
  <c r="L12" i="40"/>
  <c r="M12" i="40"/>
  <c r="N12" i="40"/>
  <c r="O12" i="40"/>
  <c r="P12" i="40"/>
  <c r="H15" i="40"/>
  <c r="F15" i="40" s="1"/>
  <c r="I15" i="40"/>
  <c r="J15" i="40"/>
  <c r="K15" i="40"/>
  <c r="L15" i="40"/>
  <c r="M15" i="40"/>
  <c r="N15" i="40"/>
  <c r="N177" i="40" s="1"/>
  <c r="O15" i="40"/>
  <c r="P15" i="40"/>
  <c r="H16" i="40"/>
  <c r="I16" i="40"/>
  <c r="J16" i="40"/>
  <c r="K16" i="40"/>
  <c r="L16" i="40"/>
  <c r="M16" i="40"/>
  <c r="N16" i="40"/>
  <c r="O16" i="40"/>
  <c r="P16" i="40"/>
  <c r="H17" i="40"/>
  <c r="I17" i="40"/>
  <c r="J17" i="40"/>
  <c r="K17" i="40"/>
  <c r="L17" i="40"/>
  <c r="M17" i="40"/>
  <c r="F17" i="40" s="1"/>
  <c r="N17" i="40"/>
  <c r="O17" i="40"/>
  <c r="P17" i="40"/>
  <c r="H18" i="40"/>
  <c r="I18" i="40"/>
  <c r="J18" i="40"/>
  <c r="K18" i="40"/>
  <c r="L18" i="40"/>
  <c r="M18" i="40"/>
  <c r="N18" i="40"/>
  <c r="O18" i="40"/>
  <c r="P18" i="40"/>
  <c r="H19" i="40"/>
  <c r="I19" i="40"/>
  <c r="J19" i="40"/>
  <c r="K19" i="40"/>
  <c r="F19" i="40" s="1"/>
  <c r="L19" i="40"/>
  <c r="M19" i="40"/>
  <c r="N19" i="40"/>
  <c r="O19" i="40"/>
  <c r="P19" i="40"/>
  <c r="H20" i="40"/>
  <c r="I20" i="40"/>
  <c r="J20" i="40"/>
  <c r="K20" i="40"/>
  <c r="L20" i="40"/>
  <c r="M20" i="40"/>
  <c r="N20" i="40"/>
  <c r="O20" i="40"/>
  <c r="P20" i="40"/>
  <c r="H21" i="40"/>
  <c r="I21" i="40"/>
  <c r="J21" i="40"/>
  <c r="K21" i="40"/>
  <c r="L21" i="40"/>
  <c r="M21" i="40"/>
  <c r="N21" i="40"/>
  <c r="O21" i="40"/>
  <c r="P21" i="40"/>
  <c r="H22" i="40"/>
  <c r="I22" i="40"/>
  <c r="J22" i="40"/>
  <c r="K22" i="40"/>
  <c r="L22" i="40"/>
  <c r="M22" i="40"/>
  <c r="N22" i="40"/>
  <c r="O22" i="40"/>
  <c r="P22" i="40"/>
  <c r="H25" i="40"/>
  <c r="I25" i="40"/>
  <c r="J25" i="40"/>
  <c r="K25" i="40"/>
  <c r="F25" i="40" s="1"/>
  <c r="L25" i="40"/>
  <c r="M25" i="40"/>
  <c r="N25" i="40"/>
  <c r="O25" i="40"/>
  <c r="P25" i="40"/>
  <c r="H26" i="40"/>
  <c r="I26" i="40"/>
  <c r="J26" i="40"/>
  <c r="K26" i="40"/>
  <c r="L26" i="40"/>
  <c r="M26" i="40"/>
  <c r="N26" i="40"/>
  <c r="O26" i="40"/>
  <c r="P26" i="40"/>
  <c r="H27" i="40"/>
  <c r="I27" i="40"/>
  <c r="J27" i="40"/>
  <c r="K27" i="40"/>
  <c r="L27" i="40"/>
  <c r="M27" i="40"/>
  <c r="N27" i="40"/>
  <c r="O27" i="40"/>
  <c r="P27" i="40"/>
  <c r="H28" i="40"/>
  <c r="I28" i="40"/>
  <c r="J28" i="40"/>
  <c r="K28" i="40"/>
  <c r="L28" i="40"/>
  <c r="M28" i="40"/>
  <c r="N28" i="40"/>
  <c r="O28" i="40"/>
  <c r="P28" i="40"/>
  <c r="H29" i="40"/>
  <c r="I29" i="40"/>
  <c r="J29" i="40"/>
  <c r="K29" i="40"/>
  <c r="L29" i="40"/>
  <c r="M29" i="40"/>
  <c r="N29" i="40"/>
  <c r="O29" i="40"/>
  <c r="P29" i="40"/>
  <c r="F29" i="40"/>
  <c r="H30" i="40"/>
  <c r="I30" i="40"/>
  <c r="J30" i="40"/>
  <c r="K30" i="40"/>
  <c r="L30" i="40"/>
  <c r="M30" i="40"/>
  <c r="N30" i="40"/>
  <c r="O30" i="40"/>
  <c r="P30" i="40"/>
  <c r="H31" i="40"/>
  <c r="I31" i="40"/>
  <c r="J31" i="40"/>
  <c r="K31" i="40"/>
  <c r="L31" i="40"/>
  <c r="M31" i="40"/>
  <c r="N31" i="40"/>
  <c r="O31" i="40"/>
  <c r="P31" i="40"/>
  <c r="H32" i="40"/>
  <c r="I32" i="40"/>
  <c r="J32" i="40"/>
  <c r="K32" i="40"/>
  <c r="L32" i="40"/>
  <c r="M32" i="40"/>
  <c r="N32" i="40"/>
  <c r="O32" i="40"/>
  <c r="P32" i="40"/>
  <c r="H33" i="40"/>
  <c r="I33" i="40"/>
  <c r="J33" i="40"/>
  <c r="F33" i="40" s="1"/>
  <c r="K33" i="40"/>
  <c r="L33" i="40"/>
  <c r="M33" i="40"/>
  <c r="N33" i="40"/>
  <c r="O33" i="40"/>
  <c r="P33" i="40"/>
  <c r="H34" i="40"/>
  <c r="I34" i="40"/>
  <c r="J34" i="40"/>
  <c r="K34" i="40"/>
  <c r="L34" i="40"/>
  <c r="M34" i="40"/>
  <c r="N34" i="40"/>
  <c r="O34" i="40"/>
  <c r="P34" i="40"/>
  <c r="H35" i="40"/>
  <c r="I35" i="40"/>
  <c r="J35" i="40"/>
  <c r="K35" i="40"/>
  <c r="L35" i="40"/>
  <c r="M35" i="40"/>
  <c r="N35" i="40"/>
  <c r="O35" i="40"/>
  <c r="P35" i="40"/>
  <c r="H36" i="40"/>
  <c r="I36" i="40"/>
  <c r="J36" i="40"/>
  <c r="K36" i="40"/>
  <c r="L36" i="40"/>
  <c r="M36" i="40"/>
  <c r="N36" i="40"/>
  <c r="O36" i="40"/>
  <c r="P36" i="40"/>
  <c r="H37" i="40"/>
  <c r="I37" i="40"/>
  <c r="J37" i="40"/>
  <c r="K37" i="40"/>
  <c r="L37" i="40"/>
  <c r="F37" i="40" s="1"/>
  <c r="M37" i="40"/>
  <c r="N37" i="40"/>
  <c r="O37" i="40"/>
  <c r="P37" i="40"/>
  <c r="H38" i="40"/>
  <c r="I38" i="40"/>
  <c r="J38" i="40"/>
  <c r="K38" i="40"/>
  <c r="L38" i="40"/>
  <c r="M38" i="40"/>
  <c r="N38" i="40"/>
  <c r="O38" i="40"/>
  <c r="P38" i="40"/>
  <c r="H39" i="40"/>
  <c r="I39" i="40"/>
  <c r="J39" i="40"/>
  <c r="K39" i="40"/>
  <c r="L39" i="40"/>
  <c r="M39" i="40"/>
  <c r="N39" i="40"/>
  <c r="O39" i="40"/>
  <c r="P39" i="40"/>
  <c r="H40" i="40"/>
  <c r="I40" i="40"/>
  <c r="J40" i="40"/>
  <c r="K40" i="40"/>
  <c r="L40" i="40"/>
  <c r="M40" i="40"/>
  <c r="N40" i="40"/>
  <c r="O40" i="40"/>
  <c r="P40" i="40"/>
  <c r="H41" i="40"/>
  <c r="F41" i="40" s="1"/>
  <c r="I41" i="40"/>
  <c r="J41" i="40"/>
  <c r="K41" i="40"/>
  <c r="L41" i="40"/>
  <c r="M41" i="40"/>
  <c r="N41" i="40"/>
  <c r="O41" i="40"/>
  <c r="P41" i="40"/>
  <c r="H42" i="40"/>
  <c r="I42" i="40"/>
  <c r="J42" i="40"/>
  <c r="K42" i="40"/>
  <c r="L42" i="40"/>
  <c r="M42" i="40"/>
  <c r="N42" i="40"/>
  <c r="O42" i="40"/>
  <c r="P42" i="40"/>
  <c r="H43" i="40"/>
  <c r="I43" i="40"/>
  <c r="J43" i="40"/>
  <c r="K43" i="40"/>
  <c r="L43" i="40"/>
  <c r="M43" i="40"/>
  <c r="N43" i="40"/>
  <c r="O43" i="40"/>
  <c r="P43" i="40"/>
  <c r="H44" i="40"/>
  <c r="I44" i="40"/>
  <c r="J44" i="40"/>
  <c r="K44" i="40"/>
  <c r="L44" i="40"/>
  <c r="M44" i="40"/>
  <c r="N44" i="40"/>
  <c r="O44" i="40"/>
  <c r="P44" i="40"/>
  <c r="H45" i="40"/>
  <c r="I45" i="40"/>
  <c r="J45" i="40"/>
  <c r="K45" i="40"/>
  <c r="F45" i="40" s="1"/>
  <c r="L45" i="40"/>
  <c r="M45" i="40"/>
  <c r="N45" i="40"/>
  <c r="O45" i="40"/>
  <c r="P45" i="40"/>
  <c r="H46" i="40"/>
  <c r="I46" i="40"/>
  <c r="J46" i="40"/>
  <c r="K46" i="40"/>
  <c r="L46" i="40"/>
  <c r="M46" i="40"/>
  <c r="N46" i="40"/>
  <c r="O46" i="40"/>
  <c r="P46" i="40"/>
  <c r="H47" i="40"/>
  <c r="H390" i="40" s="1"/>
  <c r="I47" i="40"/>
  <c r="J47" i="40"/>
  <c r="K47" i="40"/>
  <c r="L47" i="40"/>
  <c r="M47" i="40"/>
  <c r="N47" i="40"/>
  <c r="O47" i="40"/>
  <c r="P47" i="40"/>
  <c r="H48" i="40"/>
  <c r="I48" i="40"/>
  <c r="J48" i="40"/>
  <c r="K48" i="40"/>
  <c r="L48" i="40"/>
  <c r="M48" i="40"/>
  <c r="N48" i="40"/>
  <c r="O48" i="40"/>
  <c r="P48" i="40"/>
  <c r="H49" i="40"/>
  <c r="F49" i="40" s="1"/>
  <c r="I49" i="40"/>
  <c r="J49" i="40"/>
  <c r="K49" i="40"/>
  <c r="L49" i="40"/>
  <c r="M49" i="40"/>
  <c r="N49" i="40"/>
  <c r="O49" i="40"/>
  <c r="P49" i="40"/>
  <c r="H50" i="40"/>
  <c r="I50" i="40"/>
  <c r="J50" i="40"/>
  <c r="K50" i="40"/>
  <c r="L50" i="40"/>
  <c r="M50" i="40"/>
  <c r="N50" i="40"/>
  <c r="O50" i="40"/>
  <c r="P50" i="40"/>
  <c r="H51" i="40"/>
  <c r="I51" i="40"/>
  <c r="J51" i="40"/>
  <c r="K51" i="40"/>
  <c r="L51" i="40"/>
  <c r="M51" i="40"/>
  <c r="F51" i="40" s="1"/>
  <c r="N51" i="40"/>
  <c r="O51" i="40"/>
  <c r="P51" i="40"/>
  <c r="H54" i="40"/>
  <c r="I54" i="40"/>
  <c r="J54" i="40"/>
  <c r="K54" i="40"/>
  <c r="L54" i="40"/>
  <c r="M54" i="40"/>
  <c r="N54" i="40"/>
  <c r="O54" i="40"/>
  <c r="P54" i="40"/>
  <c r="H55" i="40"/>
  <c r="I55" i="40"/>
  <c r="F55" i="40" s="1"/>
  <c r="J55" i="40"/>
  <c r="K55" i="40"/>
  <c r="L55" i="40"/>
  <c r="M55" i="40"/>
  <c r="N55" i="40"/>
  <c r="O55" i="40"/>
  <c r="P55" i="40"/>
  <c r="H56" i="40"/>
  <c r="I56" i="40"/>
  <c r="J56" i="40"/>
  <c r="K56" i="40"/>
  <c r="L56" i="40"/>
  <c r="M56" i="40"/>
  <c r="N56" i="40"/>
  <c r="O56" i="40"/>
  <c r="P56" i="40"/>
  <c r="H57" i="40"/>
  <c r="H400" i="40" s="1"/>
  <c r="H569" i="40" s="1"/>
  <c r="I57" i="40"/>
  <c r="J57" i="40"/>
  <c r="K57" i="40"/>
  <c r="L57" i="40"/>
  <c r="M57" i="40"/>
  <c r="N57" i="40"/>
  <c r="O57" i="40"/>
  <c r="P57" i="40"/>
  <c r="H58" i="40"/>
  <c r="I58" i="40"/>
  <c r="J58" i="40"/>
  <c r="K58" i="40"/>
  <c r="L58" i="40"/>
  <c r="M58" i="40"/>
  <c r="N58" i="40"/>
  <c r="O58" i="40"/>
  <c r="P58" i="40"/>
  <c r="H59" i="40"/>
  <c r="I59" i="40"/>
  <c r="J59" i="40"/>
  <c r="F59" i="40" s="1"/>
  <c r="K59" i="40"/>
  <c r="L59" i="40"/>
  <c r="M59" i="40"/>
  <c r="N59" i="40"/>
  <c r="O59" i="40"/>
  <c r="P59" i="40"/>
  <c r="H60" i="40"/>
  <c r="I60" i="40"/>
  <c r="J60" i="40"/>
  <c r="K60" i="40"/>
  <c r="L60" i="40"/>
  <c r="M60" i="40"/>
  <c r="N60" i="40"/>
  <c r="O60" i="40"/>
  <c r="P60" i="40"/>
  <c r="H61" i="40"/>
  <c r="I61" i="40"/>
  <c r="J61" i="40"/>
  <c r="K61" i="40"/>
  <c r="L61" i="40"/>
  <c r="M61" i="40"/>
  <c r="N61" i="40"/>
  <c r="O61" i="40"/>
  <c r="P61" i="40"/>
  <c r="H62" i="40"/>
  <c r="I62" i="40"/>
  <c r="J62" i="40"/>
  <c r="K62" i="40"/>
  <c r="L62" i="40"/>
  <c r="M62" i="40"/>
  <c r="N62" i="40"/>
  <c r="O62" i="40"/>
  <c r="P62" i="40"/>
  <c r="H63" i="40"/>
  <c r="I63" i="40"/>
  <c r="J63" i="40"/>
  <c r="K63" i="40"/>
  <c r="L63" i="40"/>
  <c r="M63" i="40"/>
  <c r="N63" i="40"/>
  <c r="O63" i="40"/>
  <c r="P63" i="40"/>
  <c r="F63" i="40"/>
  <c r="H64" i="40"/>
  <c r="I64" i="40"/>
  <c r="J64" i="40"/>
  <c r="K64" i="40"/>
  <c r="L64" i="40"/>
  <c r="M64" i="40"/>
  <c r="N64" i="40"/>
  <c r="O64" i="40"/>
  <c r="P64" i="40"/>
  <c r="H65" i="40"/>
  <c r="I65" i="40"/>
  <c r="J65" i="40"/>
  <c r="K65" i="40"/>
  <c r="L65" i="40"/>
  <c r="M65" i="40"/>
  <c r="N65" i="40"/>
  <c r="O65" i="40"/>
  <c r="P65" i="40"/>
  <c r="H66" i="40"/>
  <c r="I66" i="40"/>
  <c r="J66" i="40"/>
  <c r="K66" i="40"/>
  <c r="L66" i="40"/>
  <c r="M66" i="40"/>
  <c r="N66" i="40"/>
  <c r="O66" i="40"/>
  <c r="P66" i="40"/>
  <c r="H67" i="40"/>
  <c r="I67" i="40"/>
  <c r="J67" i="40"/>
  <c r="F67" i="40" s="1"/>
  <c r="K67" i="40"/>
  <c r="L67" i="40"/>
  <c r="M67" i="40"/>
  <c r="N67" i="40"/>
  <c r="O67" i="40"/>
  <c r="P67" i="40"/>
  <c r="H68" i="40"/>
  <c r="I68" i="40"/>
  <c r="J68" i="40"/>
  <c r="K68" i="40"/>
  <c r="L68" i="40"/>
  <c r="M68" i="40"/>
  <c r="N68" i="40"/>
  <c r="O68" i="40"/>
  <c r="P68" i="40"/>
  <c r="H69" i="40"/>
  <c r="I69" i="40"/>
  <c r="J69" i="40"/>
  <c r="K69" i="40"/>
  <c r="L69" i="40"/>
  <c r="M69" i="40"/>
  <c r="N69" i="40"/>
  <c r="O69" i="40"/>
  <c r="P69" i="40"/>
  <c r="H70" i="40"/>
  <c r="I70" i="40"/>
  <c r="J70" i="40"/>
  <c r="K70" i="40"/>
  <c r="L70" i="40"/>
  <c r="M70" i="40"/>
  <c r="N70" i="40"/>
  <c r="O70" i="40"/>
  <c r="P70" i="40"/>
  <c r="H71" i="40"/>
  <c r="I71" i="40"/>
  <c r="J71" i="40"/>
  <c r="K71" i="40"/>
  <c r="L71" i="40"/>
  <c r="M71" i="40"/>
  <c r="F71" i="40" s="1"/>
  <c r="N71" i="40"/>
  <c r="O71" i="40"/>
  <c r="P71" i="40"/>
  <c r="H72" i="40"/>
  <c r="I72" i="40"/>
  <c r="J72" i="40"/>
  <c r="K72" i="40"/>
  <c r="L72" i="40"/>
  <c r="M72" i="40"/>
  <c r="N72" i="40"/>
  <c r="O72" i="40"/>
  <c r="P72" i="40"/>
  <c r="H73" i="40"/>
  <c r="I73" i="40"/>
  <c r="J73" i="40"/>
  <c r="K73" i="40"/>
  <c r="L73" i="40"/>
  <c r="M73" i="40"/>
  <c r="N73" i="40"/>
  <c r="O73" i="40"/>
  <c r="P73" i="40"/>
  <c r="H74" i="40"/>
  <c r="I74" i="40"/>
  <c r="J74" i="40"/>
  <c r="K74" i="40"/>
  <c r="L74" i="40"/>
  <c r="M74" i="40"/>
  <c r="N74" i="40"/>
  <c r="O74" i="40"/>
  <c r="P74" i="40"/>
  <c r="H75" i="40"/>
  <c r="F75" i="40" s="1"/>
  <c r="I75" i="40"/>
  <c r="J75" i="40"/>
  <c r="K75" i="40"/>
  <c r="L75" i="40"/>
  <c r="M75" i="40"/>
  <c r="N75" i="40"/>
  <c r="O75" i="40"/>
  <c r="P75" i="40"/>
  <c r="H76" i="40"/>
  <c r="I76" i="40"/>
  <c r="J76" i="40"/>
  <c r="K76" i="40"/>
  <c r="L76" i="40"/>
  <c r="M76" i="40"/>
  <c r="N76" i="40"/>
  <c r="O76" i="40"/>
  <c r="P76" i="40"/>
  <c r="H77" i="40"/>
  <c r="I77" i="40"/>
  <c r="J77" i="40"/>
  <c r="K77" i="40"/>
  <c r="L77" i="40"/>
  <c r="M77" i="40"/>
  <c r="N77" i="40"/>
  <c r="O77" i="40"/>
  <c r="P77" i="40"/>
  <c r="H78" i="40"/>
  <c r="I78" i="40"/>
  <c r="J78" i="40"/>
  <c r="K78" i="40"/>
  <c r="L78" i="40"/>
  <c r="M78" i="40"/>
  <c r="N78" i="40"/>
  <c r="O78" i="40"/>
  <c r="P78" i="40"/>
  <c r="H79" i="40"/>
  <c r="I79" i="40"/>
  <c r="J79" i="40"/>
  <c r="F79" i="40" s="1"/>
  <c r="K79" i="40"/>
  <c r="L79" i="40"/>
  <c r="M79" i="40"/>
  <c r="N79" i="40"/>
  <c r="O79" i="40"/>
  <c r="P79" i="40"/>
  <c r="H80" i="40"/>
  <c r="I80" i="40"/>
  <c r="J80" i="40"/>
  <c r="K80" i="40"/>
  <c r="L80" i="40"/>
  <c r="M80" i="40"/>
  <c r="N80" i="40"/>
  <c r="O80" i="40"/>
  <c r="P80" i="40"/>
  <c r="H81" i="40"/>
  <c r="I81" i="40"/>
  <c r="J81" i="40"/>
  <c r="K81" i="40"/>
  <c r="L81" i="40"/>
  <c r="M81" i="40"/>
  <c r="N81" i="40"/>
  <c r="O81" i="40"/>
  <c r="P81" i="40"/>
  <c r="H82" i="40"/>
  <c r="I82" i="40"/>
  <c r="J82" i="40"/>
  <c r="K82" i="40"/>
  <c r="L82" i="40"/>
  <c r="M82" i="40"/>
  <c r="N82" i="40"/>
  <c r="O82" i="40"/>
  <c r="P82" i="40"/>
  <c r="H83" i="40"/>
  <c r="F83" i="40" s="1"/>
  <c r="I83" i="40"/>
  <c r="J83" i="40"/>
  <c r="K83" i="40"/>
  <c r="L83" i="40"/>
  <c r="M83" i="40"/>
  <c r="N83" i="40"/>
  <c r="O83" i="40"/>
  <c r="P83" i="40"/>
  <c r="H84" i="40"/>
  <c r="I84" i="40"/>
  <c r="J84" i="40"/>
  <c r="K84" i="40"/>
  <c r="L84" i="40"/>
  <c r="M84" i="40"/>
  <c r="N84" i="40"/>
  <c r="O84" i="40"/>
  <c r="P84" i="40"/>
  <c r="H85" i="40"/>
  <c r="I85" i="40"/>
  <c r="J85" i="40"/>
  <c r="K85" i="40"/>
  <c r="L85" i="40"/>
  <c r="M85" i="40"/>
  <c r="F85" i="40" s="1"/>
  <c r="N85" i="40"/>
  <c r="O85" i="40"/>
  <c r="P85" i="40"/>
  <c r="H86" i="40"/>
  <c r="I86" i="40"/>
  <c r="J86" i="40"/>
  <c r="K86" i="40"/>
  <c r="L86" i="40"/>
  <c r="M86" i="40"/>
  <c r="N86" i="40"/>
  <c r="O86" i="40"/>
  <c r="P86" i="40"/>
  <c r="H87" i="40"/>
  <c r="I87" i="40"/>
  <c r="J87" i="40"/>
  <c r="K87" i="40"/>
  <c r="F87" i="40" s="1"/>
  <c r="L87" i="40"/>
  <c r="M87" i="40"/>
  <c r="N87" i="40"/>
  <c r="O87" i="40"/>
  <c r="P87" i="40"/>
  <c r="H88" i="40"/>
  <c r="I88" i="40"/>
  <c r="J88" i="40"/>
  <c r="K88" i="40"/>
  <c r="L88" i="40"/>
  <c r="M88" i="40"/>
  <c r="N88" i="40"/>
  <c r="O88" i="40"/>
  <c r="P88" i="40"/>
  <c r="H89" i="40"/>
  <c r="H432" i="40" s="1"/>
  <c r="I89" i="40"/>
  <c r="J89" i="40"/>
  <c r="K89" i="40"/>
  <c r="L89" i="40"/>
  <c r="M89" i="40"/>
  <c r="N89" i="40"/>
  <c r="O89" i="40"/>
  <c r="P89" i="40"/>
  <c r="H90" i="40"/>
  <c r="I90" i="40"/>
  <c r="J90" i="40"/>
  <c r="K90" i="40"/>
  <c r="L90" i="40"/>
  <c r="M90" i="40"/>
  <c r="N90" i="40"/>
  <c r="O90" i="40"/>
  <c r="P90" i="40"/>
  <c r="H91" i="40"/>
  <c r="I91" i="40"/>
  <c r="J91" i="40"/>
  <c r="K91" i="40"/>
  <c r="F91" i="40" s="1"/>
  <c r="L91" i="40"/>
  <c r="M91" i="40"/>
  <c r="N91" i="40"/>
  <c r="O91" i="40"/>
  <c r="P91" i="40"/>
  <c r="H92" i="40"/>
  <c r="I92" i="40"/>
  <c r="J92" i="40"/>
  <c r="K92" i="40"/>
  <c r="L92" i="40"/>
  <c r="M92" i="40"/>
  <c r="N92" i="40"/>
  <c r="O92" i="40"/>
  <c r="P92" i="40"/>
  <c r="H93" i="40"/>
  <c r="I93" i="40"/>
  <c r="J93" i="40"/>
  <c r="K93" i="40"/>
  <c r="F93" i="40" s="1"/>
  <c r="L93" i="40"/>
  <c r="M93" i="40"/>
  <c r="N93" i="40"/>
  <c r="O93" i="40"/>
  <c r="P93" i="40"/>
  <c r="H94" i="40"/>
  <c r="I94" i="40"/>
  <c r="J94" i="40"/>
  <c r="K94" i="40"/>
  <c r="L94" i="40"/>
  <c r="M94" i="40"/>
  <c r="N94" i="40"/>
  <c r="O94" i="40"/>
  <c r="P94" i="40"/>
  <c r="H95" i="40"/>
  <c r="H438" i="40" s="1"/>
  <c r="H607" i="40" s="1"/>
  <c r="I95" i="40"/>
  <c r="J95" i="40"/>
  <c r="K95" i="40"/>
  <c r="L95" i="40"/>
  <c r="M95" i="40"/>
  <c r="N95" i="40"/>
  <c r="O95" i="40"/>
  <c r="P95" i="40"/>
  <c r="H96" i="40"/>
  <c r="I96" i="40"/>
  <c r="J96" i="40"/>
  <c r="K96" i="40"/>
  <c r="L96" i="40"/>
  <c r="M96" i="40"/>
  <c r="N96" i="40"/>
  <c r="O96" i="40"/>
  <c r="P96" i="40"/>
  <c r="H97" i="40"/>
  <c r="I97" i="40"/>
  <c r="J97" i="40"/>
  <c r="K97" i="40"/>
  <c r="L97" i="40"/>
  <c r="F97" i="40" s="1"/>
  <c r="M97" i="40"/>
  <c r="N97" i="40"/>
  <c r="O97" i="40"/>
  <c r="P97" i="40"/>
  <c r="H98" i="40"/>
  <c r="I98" i="40"/>
  <c r="J98" i="40"/>
  <c r="K98" i="40"/>
  <c r="L98" i="40"/>
  <c r="M98" i="40"/>
  <c r="N98" i="40"/>
  <c r="O98" i="40"/>
  <c r="P98" i="40"/>
  <c r="H99" i="40"/>
  <c r="I99" i="40"/>
  <c r="J99" i="40"/>
  <c r="K99" i="40"/>
  <c r="L99" i="40"/>
  <c r="M99" i="40"/>
  <c r="N99" i="40"/>
  <c r="O99" i="40"/>
  <c r="P99" i="40"/>
  <c r="H100" i="40"/>
  <c r="I100" i="40"/>
  <c r="J100" i="40"/>
  <c r="K100" i="40"/>
  <c r="L100" i="40"/>
  <c r="M100" i="40"/>
  <c r="N100" i="40"/>
  <c r="O100" i="40"/>
  <c r="P100" i="40"/>
  <c r="H101" i="40"/>
  <c r="I101" i="40"/>
  <c r="J101" i="40"/>
  <c r="K101" i="40"/>
  <c r="L101" i="40"/>
  <c r="M101" i="40"/>
  <c r="N101" i="40"/>
  <c r="O101" i="40"/>
  <c r="P101" i="40"/>
  <c r="H102" i="40"/>
  <c r="I102" i="40"/>
  <c r="J102" i="40"/>
  <c r="K102" i="40"/>
  <c r="L102" i="40"/>
  <c r="M102" i="40"/>
  <c r="N102" i="40"/>
  <c r="O102" i="40"/>
  <c r="P102" i="40"/>
  <c r="H103" i="40"/>
  <c r="I103" i="40"/>
  <c r="J103" i="40"/>
  <c r="K103" i="40"/>
  <c r="L103" i="40"/>
  <c r="M103" i="40"/>
  <c r="F103" i="40" s="1"/>
  <c r="N103" i="40"/>
  <c r="O103" i="40"/>
  <c r="P103" i="40"/>
  <c r="H104" i="40"/>
  <c r="I104" i="40"/>
  <c r="J104" i="40"/>
  <c r="K104" i="40"/>
  <c r="L104" i="40"/>
  <c r="M104" i="40"/>
  <c r="N104" i="40"/>
  <c r="O104" i="40"/>
  <c r="P104" i="40"/>
  <c r="H105" i="40"/>
  <c r="I105" i="40"/>
  <c r="J105" i="40"/>
  <c r="K105" i="40"/>
  <c r="L105" i="40"/>
  <c r="M105" i="40"/>
  <c r="N105" i="40"/>
  <c r="O105" i="40"/>
  <c r="P105" i="40"/>
  <c r="H106" i="40"/>
  <c r="I106" i="40"/>
  <c r="J106" i="40"/>
  <c r="K106" i="40"/>
  <c r="L106" i="40"/>
  <c r="M106" i="40"/>
  <c r="N106" i="40"/>
  <c r="O106" i="40"/>
  <c r="P106" i="40"/>
  <c r="H107" i="40"/>
  <c r="H450" i="40" s="1"/>
  <c r="H619" i="40" s="1"/>
  <c r="I107" i="40"/>
  <c r="J107" i="40"/>
  <c r="K107" i="40"/>
  <c r="L107" i="40"/>
  <c r="M107" i="40"/>
  <c r="N107" i="40"/>
  <c r="O107" i="40"/>
  <c r="P107" i="40"/>
  <c r="H108" i="40"/>
  <c r="I108" i="40"/>
  <c r="J108" i="40"/>
  <c r="K108" i="40"/>
  <c r="L108" i="40"/>
  <c r="M108" i="40"/>
  <c r="N108" i="40"/>
  <c r="O108" i="40"/>
  <c r="P108" i="40"/>
  <c r="H109" i="40"/>
  <c r="I109" i="40"/>
  <c r="J109" i="40"/>
  <c r="K109" i="40"/>
  <c r="L109" i="40"/>
  <c r="M109" i="40"/>
  <c r="F109" i="40" s="1"/>
  <c r="N109" i="40"/>
  <c r="O109" i="40"/>
  <c r="P109" i="40"/>
  <c r="H110" i="40"/>
  <c r="I110" i="40"/>
  <c r="J110" i="40"/>
  <c r="K110" i="40"/>
  <c r="L110" i="40"/>
  <c r="M110" i="40"/>
  <c r="N110" i="40"/>
  <c r="O110" i="40"/>
  <c r="P110" i="40"/>
  <c r="H111" i="40"/>
  <c r="I111" i="40"/>
  <c r="J111" i="40"/>
  <c r="K111" i="40"/>
  <c r="L111" i="40"/>
  <c r="M111" i="40"/>
  <c r="N111" i="40"/>
  <c r="O111" i="40"/>
  <c r="P111" i="40"/>
  <c r="H112" i="40"/>
  <c r="I112" i="40"/>
  <c r="J112" i="40"/>
  <c r="K112" i="40"/>
  <c r="F112" i="40" s="1"/>
  <c r="L112" i="40"/>
  <c r="M112" i="40"/>
  <c r="N112" i="40"/>
  <c r="O112" i="40"/>
  <c r="P112" i="40"/>
  <c r="H113" i="40"/>
  <c r="F113" i="40" s="1"/>
  <c r="I113" i="40"/>
  <c r="J113" i="40"/>
  <c r="K113" i="40"/>
  <c r="L113" i="40"/>
  <c r="M113" i="40"/>
  <c r="N113" i="40"/>
  <c r="O113" i="40"/>
  <c r="P113" i="40"/>
  <c r="H114" i="40"/>
  <c r="I114" i="40"/>
  <c r="J114" i="40"/>
  <c r="K114" i="40"/>
  <c r="L114" i="40"/>
  <c r="M114" i="40"/>
  <c r="N114" i="40"/>
  <c r="O114" i="40"/>
  <c r="P114" i="40"/>
  <c r="H115" i="40"/>
  <c r="I115" i="40"/>
  <c r="J115" i="40"/>
  <c r="K115" i="40"/>
  <c r="L115" i="40"/>
  <c r="M115" i="40"/>
  <c r="N115" i="40"/>
  <c r="O115" i="40"/>
  <c r="P115" i="40"/>
  <c r="H116" i="40"/>
  <c r="I116" i="40"/>
  <c r="J116" i="40"/>
  <c r="K116" i="40"/>
  <c r="L116" i="40"/>
  <c r="M116" i="40"/>
  <c r="N116" i="40"/>
  <c r="O116" i="40"/>
  <c r="P116" i="40"/>
  <c r="H117" i="40"/>
  <c r="I117" i="40"/>
  <c r="J117" i="40"/>
  <c r="K117" i="40"/>
  <c r="L117" i="40"/>
  <c r="M117" i="40"/>
  <c r="F117" i="40" s="1"/>
  <c r="N117" i="40"/>
  <c r="O117" i="40"/>
  <c r="P117" i="40"/>
  <c r="H118" i="40"/>
  <c r="I118" i="40"/>
  <c r="J118" i="40"/>
  <c r="K118" i="40"/>
  <c r="L118" i="40"/>
  <c r="M118" i="40"/>
  <c r="N118" i="40"/>
  <c r="O118" i="40"/>
  <c r="P118" i="40"/>
  <c r="H119" i="40"/>
  <c r="I119" i="40"/>
  <c r="J119" i="40"/>
  <c r="K119" i="40"/>
  <c r="F119" i="40" s="1"/>
  <c r="L119" i="40"/>
  <c r="M119" i="40"/>
  <c r="N119" i="40"/>
  <c r="O119" i="40"/>
  <c r="P119" i="40"/>
  <c r="H120" i="40"/>
  <c r="I120" i="40"/>
  <c r="J120" i="40"/>
  <c r="K120" i="40"/>
  <c r="L120" i="40"/>
  <c r="M120" i="40"/>
  <c r="N120" i="40"/>
  <c r="O120" i="40"/>
  <c r="P120" i="40"/>
  <c r="H123" i="40"/>
  <c r="H466" i="40" s="1"/>
  <c r="I123" i="40"/>
  <c r="J123" i="40"/>
  <c r="K123" i="40"/>
  <c r="L123" i="40"/>
  <c r="M123" i="40"/>
  <c r="N123" i="40"/>
  <c r="O123" i="40"/>
  <c r="P123" i="40"/>
  <c r="H124" i="40"/>
  <c r="I124" i="40"/>
  <c r="J124" i="40"/>
  <c r="K124" i="40"/>
  <c r="L124" i="40"/>
  <c r="M124" i="40"/>
  <c r="N124" i="40"/>
  <c r="O124" i="40"/>
  <c r="P124" i="40"/>
  <c r="H125" i="40"/>
  <c r="F125" i="40" s="1"/>
  <c r="I125" i="40"/>
  <c r="J125" i="40"/>
  <c r="K125" i="40"/>
  <c r="L125" i="40"/>
  <c r="M125" i="40"/>
  <c r="N125" i="40"/>
  <c r="O125" i="40"/>
  <c r="P125" i="40"/>
  <c r="H126" i="40"/>
  <c r="I126" i="40"/>
  <c r="J126" i="40"/>
  <c r="K126" i="40"/>
  <c r="L126" i="40"/>
  <c r="M126" i="40"/>
  <c r="N126" i="40"/>
  <c r="O126" i="40"/>
  <c r="P126" i="40"/>
  <c r="H127" i="40"/>
  <c r="I127" i="40"/>
  <c r="J127" i="40"/>
  <c r="K127" i="40"/>
  <c r="F127" i="40" s="1"/>
  <c r="L127" i="40"/>
  <c r="M127" i="40"/>
  <c r="N127" i="40"/>
  <c r="O127" i="40"/>
  <c r="P127" i="40"/>
  <c r="H128" i="40"/>
  <c r="I128" i="40"/>
  <c r="J128" i="40"/>
  <c r="K128" i="40"/>
  <c r="L128" i="40"/>
  <c r="M128" i="40"/>
  <c r="N128" i="40"/>
  <c r="O128" i="40"/>
  <c r="P128" i="40"/>
  <c r="H129" i="40"/>
  <c r="H472" i="40" s="1"/>
  <c r="H641" i="40" s="1"/>
  <c r="I129" i="40"/>
  <c r="J129" i="40"/>
  <c r="K129" i="40"/>
  <c r="L129" i="40"/>
  <c r="M129" i="40"/>
  <c r="N129" i="40"/>
  <c r="O129" i="40"/>
  <c r="P129" i="40"/>
  <c r="H130" i="40"/>
  <c r="I130" i="40"/>
  <c r="J130" i="40"/>
  <c r="K130" i="40"/>
  <c r="L130" i="40"/>
  <c r="M130" i="40"/>
  <c r="N130" i="40"/>
  <c r="O130" i="40"/>
  <c r="P130" i="40"/>
  <c r="H131" i="40"/>
  <c r="I131" i="40"/>
  <c r="J131" i="40"/>
  <c r="K131" i="40"/>
  <c r="L131" i="40"/>
  <c r="M131" i="40"/>
  <c r="N131" i="40"/>
  <c r="O131" i="40"/>
  <c r="P131" i="40"/>
  <c r="H132" i="40"/>
  <c r="I132" i="40"/>
  <c r="J132" i="40"/>
  <c r="K132" i="40"/>
  <c r="L132" i="40"/>
  <c r="M132" i="40"/>
  <c r="N132" i="40"/>
  <c r="O132" i="40"/>
  <c r="P132" i="40"/>
  <c r="H133" i="40"/>
  <c r="I133" i="40"/>
  <c r="J133" i="40"/>
  <c r="K133" i="40"/>
  <c r="L133" i="40"/>
  <c r="M133" i="40"/>
  <c r="N133" i="40"/>
  <c r="O133" i="40"/>
  <c r="P133" i="40"/>
  <c r="H134" i="40"/>
  <c r="I134" i="40"/>
  <c r="J134" i="40"/>
  <c r="K134" i="40"/>
  <c r="F134" i="40" s="1"/>
  <c r="L134" i="40"/>
  <c r="M134" i="40"/>
  <c r="N134" i="40"/>
  <c r="O134" i="40"/>
  <c r="P134" i="40"/>
  <c r="H135" i="40"/>
  <c r="I135" i="40"/>
  <c r="J135" i="40"/>
  <c r="K135" i="40"/>
  <c r="L135" i="40"/>
  <c r="M135" i="40"/>
  <c r="N135" i="40"/>
  <c r="O135" i="40"/>
  <c r="P135" i="40"/>
  <c r="H136" i="40"/>
  <c r="I136" i="40"/>
  <c r="J136" i="40"/>
  <c r="K136" i="40"/>
  <c r="L136" i="40"/>
  <c r="M136" i="40"/>
  <c r="N136" i="40"/>
  <c r="O136" i="40"/>
  <c r="P136" i="40"/>
  <c r="H137" i="40"/>
  <c r="H480" i="40" s="1"/>
  <c r="H649" i="40" s="1"/>
  <c r="I137" i="40"/>
  <c r="J137" i="40"/>
  <c r="K137" i="40"/>
  <c r="L137" i="40"/>
  <c r="M137" i="40"/>
  <c r="N137" i="40"/>
  <c r="O137" i="40"/>
  <c r="P137" i="40"/>
  <c r="H138" i="40"/>
  <c r="I138" i="40"/>
  <c r="J138" i="40"/>
  <c r="K138" i="40"/>
  <c r="L138" i="40"/>
  <c r="M138" i="40"/>
  <c r="N138" i="40"/>
  <c r="O138" i="40"/>
  <c r="P138" i="40"/>
  <c r="H139" i="40"/>
  <c r="I139" i="40"/>
  <c r="J139" i="40"/>
  <c r="K139" i="40"/>
  <c r="L139" i="40"/>
  <c r="M139" i="40"/>
  <c r="N139" i="40"/>
  <c r="O139" i="40"/>
  <c r="P139" i="40"/>
  <c r="H140" i="40"/>
  <c r="I140" i="40"/>
  <c r="J140" i="40"/>
  <c r="K140" i="40"/>
  <c r="L140" i="40"/>
  <c r="M140" i="40"/>
  <c r="N140" i="40"/>
  <c r="O140" i="40"/>
  <c r="P140" i="40"/>
  <c r="H141" i="40"/>
  <c r="I141" i="40"/>
  <c r="J141" i="40"/>
  <c r="K141" i="40"/>
  <c r="L141" i="40"/>
  <c r="M141" i="40"/>
  <c r="N141" i="40"/>
  <c r="O141" i="40"/>
  <c r="P141" i="40"/>
  <c r="H142" i="40"/>
  <c r="I142" i="40"/>
  <c r="J142" i="40"/>
  <c r="K142" i="40"/>
  <c r="F142" i="40" s="1"/>
  <c r="L142" i="40"/>
  <c r="M142" i="40"/>
  <c r="N142" i="40"/>
  <c r="O142" i="40"/>
  <c r="P142" i="40"/>
  <c r="H143" i="40"/>
  <c r="I143" i="40"/>
  <c r="J143" i="40"/>
  <c r="F143" i="40" s="1"/>
  <c r="K143" i="40"/>
  <c r="L143" i="40"/>
  <c r="M143" i="40"/>
  <c r="N143" i="40"/>
  <c r="O143" i="40"/>
  <c r="P143" i="40"/>
  <c r="H144" i="40"/>
  <c r="I144" i="40"/>
  <c r="J144" i="40"/>
  <c r="K144" i="40"/>
  <c r="L144" i="40"/>
  <c r="M144" i="40"/>
  <c r="N144" i="40"/>
  <c r="O144" i="40"/>
  <c r="P144" i="40"/>
  <c r="H145" i="40"/>
  <c r="H488" i="40" s="1"/>
  <c r="I145" i="40"/>
  <c r="J145" i="40"/>
  <c r="K145" i="40"/>
  <c r="L145" i="40"/>
  <c r="M145" i="40"/>
  <c r="N145" i="40"/>
  <c r="O145" i="40"/>
  <c r="P145" i="40"/>
  <c r="H146" i="40"/>
  <c r="I146" i="40"/>
  <c r="J146" i="40"/>
  <c r="K146" i="40"/>
  <c r="L146" i="40"/>
  <c r="M146" i="40"/>
  <c r="N146" i="40"/>
  <c r="O146" i="40"/>
  <c r="P146" i="40"/>
  <c r="H147" i="40"/>
  <c r="I147" i="40"/>
  <c r="J147" i="40"/>
  <c r="K147" i="40"/>
  <c r="L147" i="40"/>
  <c r="M147" i="40"/>
  <c r="N147" i="40"/>
  <c r="O147" i="40"/>
  <c r="P147" i="40"/>
  <c r="H148" i="40"/>
  <c r="I148" i="40"/>
  <c r="J148" i="40"/>
  <c r="K148" i="40"/>
  <c r="L148" i="40"/>
  <c r="M148" i="40"/>
  <c r="N148" i="40"/>
  <c r="O148" i="40"/>
  <c r="P148" i="40"/>
  <c r="H149" i="40"/>
  <c r="I149" i="40"/>
  <c r="J149" i="40"/>
  <c r="K149" i="40"/>
  <c r="L149" i="40"/>
  <c r="M149" i="40"/>
  <c r="N149" i="40"/>
  <c r="O149" i="40"/>
  <c r="P149" i="40"/>
  <c r="H150" i="40"/>
  <c r="I150" i="40"/>
  <c r="J150" i="40"/>
  <c r="K150" i="40"/>
  <c r="F150" i="40" s="1"/>
  <c r="L150" i="40"/>
  <c r="M150" i="40"/>
  <c r="N150" i="40"/>
  <c r="O150" i="40"/>
  <c r="P150" i="40"/>
  <c r="H151" i="40"/>
  <c r="I151" i="40"/>
  <c r="J151" i="40"/>
  <c r="F151" i="40" s="1"/>
  <c r="K151" i="40"/>
  <c r="L151" i="40"/>
  <c r="M151" i="40"/>
  <c r="N151" i="40"/>
  <c r="O151" i="40"/>
  <c r="P151" i="40"/>
  <c r="H152" i="40"/>
  <c r="I152" i="40"/>
  <c r="J152" i="40"/>
  <c r="K152" i="40"/>
  <c r="L152" i="40"/>
  <c r="M152" i="40"/>
  <c r="N152" i="40"/>
  <c r="O152" i="40"/>
  <c r="P152" i="40"/>
  <c r="H153" i="40"/>
  <c r="H496" i="40" s="1"/>
  <c r="H665" i="40" s="1"/>
  <c r="I153" i="40"/>
  <c r="J153" i="40"/>
  <c r="K153" i="40"/>
  <c r="L153" i="40"/>
  <c r="M153" i="40"/>
  <c r="N153" i="40"/>
  <c r="O153" i="40"/>
  <c r="P153" i="40"/>
  <c r="H154" i="40"/>
  <c r="I154" i="40"/>
  <c r="J154" i="40"/>
  <c r="K154" i="40"/>
  <c r="L154" i="40"/>
  <c r="M154" i="40"/>
  <c r="N154" i="40"/>
  <c r="O154" i="40"/>
  <c r="P154" i="40"/>
  <c r="H155" i="40"/>
  <c r="I155" i="40"/>
  <c r="J155" i="40"/>
  <c r="K155" i="40"/>
  <c r="L155" i="40"/>
  <c r="M155" i="40"/>
  <c r="N155" i="40"/>
  <c r="O155" i="40"/>
  <c r="P155" i="40"/>
  <c r="H156" i="40"/>
  <c r="I156" i="40"/>
  <c r="J156" i="40"/>
  <c r="K156" i="40"/>
  <c r="L156" i="40"/>
  <c r="M156" i="40"/>
  <c r="N156" i="40"/>
  <c r="O156" i="40"/>
  <c r="P156" i="40"/>
  <c r="H157" i="40"/>
  <c r="I157" i="40"/>
  <c r="J157" i="40"/>
  <c r="K157" i="40"/>
  <c r="L157" i="40"/>
  <c r="M157" i="40"/>
  <c r="N157" i="40"/>
  <c r="O157" i="40"/>
  <c r="P157" i="40"/>
  <c r="H158" i="40"/>
  <c r="I158" i="40"/>
  <c r="J158" i="40"/>
  <c r="K158" i="40"/>
  <c r="F158" i="40" s="1"/>
  <c r="L158" i="40"/>
  <c r="M158" i="40"/>
  <c r="N158" i="40"/>
  <c r="O158" i="40"/>
  <c r="P158" i="40"/>
  <c r="H159" i="40"/>
  <c r="I159" i="40"/>
  <c r="J159" i="40"/>
  <c r="K159" i="40"/>
  <c r="L159" i="40"/>
  <c r="M159" i="40"/>
  <c r="N159" i="40"/>
  <c r="O159" i="40"/>
  <c r="P159" i="40"/>
  <c r="H160" i="40"/>
  <c r="I160" i="40"/>
  <c r="J160" i="40"/>
  <c r="K160" i="40"/>
  <c r="L160" i="40"/>
  <c r="M160" i="40"/>
  <c r="N160" i="40"/>
  <c r="O160" i="40"/>
  <c r="P160" i="40"/>
  <c r="H161" i="40"/>
  <c r="I161" i="40"/>
  <c r="J161" i="40"/>
  <c r="K161" i="40"/>
  <c r="L161" i="40"/>
  <c r="M161" i="40"/>
  <c r="N161" i="40"/>
  <c r="O161" i="40"/>
  <c r="P161" i="40"/>
  <c r="H162" i="40"/>
  <c r="I162" i="40"/>
  <c r="J162" i="40"/>
  <c r="K162" i="40"/>
  <c r="L162" i="40"/>
  <c r="M162" i="40"/>
  <c r="N162" i="40"/>
  <c r="O162" i="40"/>
  <c r="P162" i="40"/>
  <c r="H163" i="40"/>
  <c r="I163" i="40"/>
  <c r="J163" i="40"/>
  <c r="K163" i="40"/>
  <c r="L163" i="40"/>
  <c r="M163" i="40"/>
  <c r="N163" i="40"/>
  <c r="O163" i="40"/>
  <c r="P163" i="40"/>
  <c r="H164" i="40"/>
  <c r="I164" i="40"/>
  <c r="J164" i="40"/>
  <c r="K164" i="40"/>
  <c r="L164" i="40"/>
  <c r="M164" i="40"/>
  <c r="N164" i="40"/>
  <c r="O164" i="40"/>
  <c r="P164" i="40"/>
  <c r="H165" i="40"/>
  <c r="I165" i="40"/>
  <c r="J165" i="40"/>
  <c r="K165" i="40"/>
  <c r="L165" i="40"/>
  <c r="M165" i="40"/>
  <c r="N165" i="40"/>
  <c r="O165" i="40"/>
  <c r="P165" i="40"/>
  <c r="H166" i="40"/>
  <c r="I166" i="40"/>
  <c r="J166" i="40"/>
  <c r="K166" i="40"/>
  <c r="L166" i="40"/>
  <c r="M166" i="40"/>
  <c r="N166" i="40"/>
  <c r="O166" i="40"/>
  <c r="P166" i="40"/>
  <c r="H167" i="40"/>
  <c r="I167" i="40"/>
  <c r="J167" i="40"/>
  <c r="K167" i="40"/>
  <c r="L167" i="40"/>
  <c r="M167" i="40"/>
  <c r="N167" i="40"/>
  <c r="O167" i="40"/>
  <c r="P167" i="40"/>
  <c r="H168" i="40"/>
  <c r="I168" i="40"/>
  <c r="J168" i="40"/>
  <c r="K168" i="40"/>
  <c r="L168" i="40"/>
  <c r="M168" i="40"/>
  <c r="N168" i="40"/>
  <c r="O168" i="40"/>
  <c r="P168" i="40"/>
  <c r="H169" i="40"/>
  <c r="H512" i="40" s="1"/>
  <c r="H681" i="40" s="1"/>
  <c r="I169" i="40"/>
  <c r="J169" i="40"/>
  <c r="K169" i="40"/>
  <c r="L169" i="40"/>
  <c r="M169" i="40"/>
  <c r="N169" i="40"/>
  <c r="O169" i="40"/>
  <c r="P169" i="40"/>
  <c r="H170" i="40"/>
  <c r="I170" i="40"/>
  <c r="J170" i="40"/>
  <c r="K170" i="40"/>
  <c r="L170" i="40"/>
  <c r="M170" i="40"/>
  <c r="N170" i="40"/>
  <c r="O170" i="40"/>
  <c r="P170" i="40"/>
  <c r="H171" i="40"/>
  <c r="I171" i="40"/>
  <c r="J171" i="40"/>
  <c r="K171" i="40"/>
  <c r="L171" i="40"/>
  <c r="M171" i="40"/>
  <c r="N171" i="40"/>
  <c r="O171" i="40"/>
  <c r="P171" i="40"/>
  <c r="H172" i="40"/>
  <c r="I172" i="40"/>
  <c r="J172" i="40"/>
  <c r="K172" i="40"/>
  <c r="L172" i="40"/>
  <c r="M172" i="40"/>
  <c r="N172" i="40"/>
  <c r="O172" i="40"/>
  <c r="P172" i="40"/>
  <c r="H173" i="40"/>
  <c r="I173" i="40"/>
  <c r="J173" i="40"/>
  <c r="K173" i="40"/>
  <c r="L173" i="40"/>
  <c r="M173" i="40"/>
  <c r="N173" i="40"/>
  <c r="O173" i="40"/>
  <c r="P173" i="40"/>
  <c r="H174" i="40"/>
  <c r="I174" i="40"/>
  <c r="J174" i="40"/>
  <c r="K174" i="40"/>
  <c r="L174" i="40"/>
  <c r="M174" i="40"/>
  <c r="N174" i="40"/>
  <c r="O174" i="40"/>
  <c r="P174" i="40"/>
  <c r="H175" i="40"/>
  <c r="H518" i="40" s="1"/>
  <c r="H687" i="40" s="1"/>
  <c r="I518" i="40" s="1"/>
  <c r="I687" i="40" s="1"/>
  <c r="I175" i="40"/>
  <c r="J175" i="40"/>
  <c r="K175" i="40"/>
  <c r="L175" i="40"/>
  <c r="M175" i="40"/>
  <c r="N175" i="40"/>
  <c r="O175" i="40"/>
  <c r="P175" i="40"/>
  <c r="H183" i="40"/>
  <c r="I183" i="40"/>
  <c r="J183" i="40"/>
  <c r="K183" i="40"/>
  <c r="L183" i="40"/>
  <c r="M183" i="40"/>
  <c r="N183" i="40"/>
  <c r="O183" i="40"/>
  <c r="P183" i="40"/>
  <c r="H184" i="40"/>
  <c r="H355" i="40" s="1"/>
  <c r="I184" i="40"/>
  <c r="J184" i="40"/>
  <c r="K184" i="40"/>
  <c r="L184" i="40"/>
  <c r="M184" i="40"/>
  <c r="N184" i="40"/>
  <c r="O184" i="40"/>
  <c r="P184" i="40"/>
  <c r="H187" i="40"/>
  <c r="I187" i="40"/>
  <c r="J187" i="40"/>
  <c r="K187" i="40"/>
  <c r="L187" i="40"/>
  <c r="M187" i="40"/>
  <c r="N187" i="40"/>
  <c r="O187" i="40"/>
  <c r="P187" i="40"/>
  <c r="H188" i="40"/>
  <c r="I188" i="40"/>
  <c r="J188" i="40"/>
  <c r="K188" i="40"/>
  <c r="L188" i="40"/>
  <c r="M188" i="40"/>
  <c r="N188" i="40"/>
  <c r="O188" i="40"/>
  <c r="P188" i="40"/>
  <c r="H189" i="40"/>
  <c r="I189" i="40"/>
  <c r="J189" i="40"/>
  <c r="K189" i="40"/>
  <c r="L189" i="40"/>
  <c r="M189" i="40"/>
  <c r="N189" i="40"/>
  <c r="O189" i="40"/>
  <c r="P189" i="40"/>
  <c r="H190" i="40"/>
  <c r="H361" i="40" s="1"/>
  <c r="H530" i="40" s="1"/>
  <c r="I361" i="40" s="1"/>
  <c r="I190" i="40"/>
  <c r="J190" i="40"/>
  <c r="K190" i="40"/>
  <c r="L190" i="40"/>
  <c r="M190" i="40"/>
  <c r="N190" i="40"/>
  <c r="O190" i="40"/>
  <c r="P190" i="40"/>
  <c r="H191" i="40"/>
  <c r="I191" i="40"/>
  <c r="J191" i="40"/>
  <c r="K191" i="40"/>
  <c r="L191" i="40"/>
  <c r="M191" i="40"/>
  <c r="N191" i="40"/>
  <c r="O191" i="40"/>
  <c r="P191" i="40"/>
  <c r="H192" i="40"/>
  <c r="I192" i="40"/>
  <c r="J192" i="40"/>
  <c r="K192" i="40"/>
  <c r="L192" i="40"/>
  <c r="M192" i="40"/>
  <c r="N192" i="40"/>
  <c r="O192" i="40"/>
  <c r="P192" i="40"/>
  <c r="H193" i="40"/>
  <c r="I193" i="40"/>
  <c r="J193" i="40"/>
  <c r="K193" i="40"/>
  <c r="L193" i="40"/>
  <c r="M193" i="40"/>
  <c r="N193" i="40"/>
  <c r="O193" i="40"/>
  <c r="P193" i="40"/>
  <c r="H194" i="40"/>
  <c r="I194" i="40"/>
  <c r="J194" i="40"/>
  <c r="K194" i="40"/>
  <c r="L194" i="40"/>
  <c r="M194" i="40"/>
  <c r="N194" i="40"/>
  <c r="O194" i="40"/>
  <c r="P194" i="40"/>
  <c r="H197" i="40"/>
  <c r="I197" i="40"/>
  <c r="J197" i="40"/>
  <c r="K197" i="40"/>
  <c r="L197" i="40"/>
  <c r="M197" i="40"/>
  <c r="N197" i="40"/>
  <c r="O197" i="40"/>
  <c r="P197" i="40"/>
  <c r="H198" i="40"/>
  <c r="I198" i="40"/>
  <c r="J198" i="40"/>
  <c r="K198" i="40"/>
  <c r="L198" i="40"/>
  <c r="M198" i="40"/>
  <c r="N198" i="40"/>
  <c r="O198" i="40"/>
  <c r="P198" i="40"/>
  <c r="H199" i="40"/>
  <c r="H370" i="40" s="1"/>
  <c r="I199" i="40"/>
  <c r="J199" i="40"/>
  <c r="K199" i="40"/>
  <c r="L199" i="40"/>
  <c r="M199" i="40"/>
  <c r="N199" i="40"/>
  <c r="O199" i="40"/>
  <c r="P199" i="40"/>
  <c r="H200" i="40"/>
  <c r="I200" i="40"/>
  <c r="J200" i="40"/>
  <c r="K200" i="40"/>
  <c r="L200" i="40"/>
  <c r="M200" i="40"/>
  <c r="N200" i="40"/>
  <c r="O200" i="40"/>
  <c r="P200" i="40"/>
  <c r="H201" i="40"/>
  <c r="I201" i="40"/>
  <c r="J201" i="40"/>
  <c r="K201" i="40"/>
  <c r="L201" i="40"/>
  <c r="M201" i="40"/>
  <c r="N201" i="40"/>
  <c r="O201" i="40"/>
  <c r="P201" i="40"/>
  <c r="H202" i="40"/>
  <c r="I202" i="40"/>
  <c r="J202" i="40"/>
  <c r="K202" i="40"/>
  <c r="L202" i="40"/>
  <c r="M202" i="40"/>
  <c r="N202" i="40"/>
  <c r="O202" i="40"/>
  <c r="P202" i="40"/>
  <c r="H203" i="40"/>
  <c r="I203" i="40"/>
  <c r="J203" i="40"/>
  <c r="K203" i="40"/>
  <c r="L203" i="40"/>
  <c r="M203" i="40"/>
  <c r="N203" i="40"/>
  <c r="O203" i="40"/>
  <c r="P203" i="40"/>
  <c r="H204" i="40"/>
  <c r="H375" i="40" s="1"/>
  <c r="H544" i="40" s="1"/>
  <c r="I204" i="40"/>
  <c r="J204" i="40"/>
  <c r="K204" i="40"/>
  <c r="L204" i="40"/>
  <c r="M204" i="40"/>
  <c r="N204" i="40"/>
  <c r="O204" i="40"/>
  <c r="P204" i="40"/>
  <c r="H205" i="40"/>
  <c r="I205" i="40"/>
  <c r="J205" i="40"/>
  <c r="K205" i="40"/>
  <c r="L205" i="40"/>
  <c r="M205" i="40"/>
  <c r="N205" i="40"/>
  <c r="O205" i="40"/>
  <c r="P205" i="40"/>
  <c r="H206" i="40"/>
  <c r="I206" i="40"/>
  <c r="J206" i="40"/>
  <c r="K206" i="40"/>
  <c r="L206" i="40"/>
  <c r="M206" i="40"/>
  <c r="N206" i="40"/>
  <c r="O206" i="40"/>
  <c r="P206" i="40"/>
  <c r="H207" i="40"/>
  <c r="H378" i="40" s="1"/>
  <c r="I207" i="40"/>
  <c r="J207" i="40"/>
  <c r="K207" i="40"/>
  <c r="L207" i="40"/>
  <c r="M207" i="40"/>
  <c r="N207" i="40"/>
  <c r="O207" i="40"/>
  <c r="P207" i="40"/>
  <c r="H208" i="40"/>
  <c r="I208" i="40"/>
  <c r="J208" i="40"/>
  <c r="K208" i="40"/>
  <c r="L208" i="40"/>
  <c r="M208" i="40"/>
  <c r="N208" i="40"/>
  <c r="O208" i="40"/>
  <c r="P208" i="40"/>
  <c r="H209" i="40"/>
  <c r="I209" i="40"/>
  <c r="J209" i="40"/>
  <c r="K209" i="40"/>
  <c r="L209" i="40"/>
  <c r="M209" i="40"/>
  <c r="N209" i="40"/>
  <c r="O209" i="40"/>
  <c r="P209" i="40"/>
  <c r="H210" i="40"/>
  <c r="H381" i="40" s="1"/>
  <c r="H550" i="40" s="1"/>
  <c r="I381" i="40" s="1"/>
  <c r="I210" i="40"/>
  <c r="J210" i="40"/>
  <c r="K210" i="40"/>
  <c r="L210" i="40"/>
  <c r="M210" i="40"/>
  <c r="N210" i="40"/>
  <c r="O210" i="40"/>
  <c r="P210" i="40"/>
  <c r="H211" i="40"/>
  <c r="I211" i="40"/>
  <c r="J211" i="40"/>
  <c r="K211" i="40"/>
  <c r="L211" i="40"/>
  <c r="M211" i="40"/>
  <c r="N211" i="40"/>
  <c r="O211" i="40"/>
  <c r="P211" i="40"/>
  <c r="H212" i="40"/>
  <c r="I212" i="40"/>
  <c r="J212" i="40"/>
  <c r="K212" i="40"/>
  <c r="L212" i="40"/>
  <c r="M212" i="40"/>
  <c r="N212" i="40"/>
  <c r="O212" i="40"/>
  <c r="P212" i="40"/>
  <c r="H213" i="40"/>
  <c r="I213" i="40"/>
  <c r="J213" i="40"/>
  <c r="K213" i="40"/>
  <c r="L213" i="40"/>
  <c r="M213" i="40"/>
  <c r="N213" i="40"/>
  <c r="O213" i="40"/>
  <c r="P213" i="40"/>
  <c r="H214" i="40"/>
  <c r="I214" i="40"/>
  <c r="J214" i="40"/>
  <c r="K214" i="40"/>
  <c r="L214" i="40"/>
  <c r="M214" i="40"/>
  <c r="N214" i="40"/>
  <c r="O214" i="40"/>
  <c r="P214" i="40"/>
  <c r="H215" i="40"/>
  <c r="I215" i="40"/>
  <c r="J215" i="40"/>
  <c r="K215" i="40"/>
  <c r="L215" i="40"/>
  <c r="M215" i="40"/>
  <c r="N215" i="40"/>
  <c r="O215" i="40"/>
  <c r="P215" i="40"/>
  <c r="H216" i="40"/>
  <c r="H387" i="40" s="1"/>
  <c r="H556" i="40" s="1"/>
  <c r="I387" i="40" s="1"/>
  <c r="I216" i="40"/>
  <c r="J216" i="40"/>
  <c r="K216" i="40"/>
  <c r="L216" i="40"/>
  <c r="M216" i="40"/>
  <c r="N216" i="40"/>
  <c r="O216" i="40"/>
  <c r="P216" i="40"/>
  <c r="H217" i="40"/>
  <c r="I217" i="40"/>
  <c r="J217" i="40"/>
  <c r="K217" i="40"/>
  <c r="L217" i="40"/>
  <c r="M217" i="40"/>
  <c r="N217" i="40"/>
  <c r="O217" i="40"/>
  <c r="P217" i="40"/>
  <c r="H218" i="40"/>
  <c r="H389" i="40" s="1"/>
  <c r="H558" i="40" s="1"/>
  <c r="I218" i="40"/>
  <c r="J218" i="40"/>
  <c r="K218" i="40"/>
  <c r="L218" i="40"/>
  <c r="M218" i="40"/>
  <c r="N218" i="40"/>
  <c r="O218" i="40"/>
  <c r="P218" i="40"/>
  <c r="H219" i="40"/>
  <c r="I219" i="40"/>
  <c r="J219" i="40"/>
  <c r="K219" i="40"/>
  <c r="L219" i="40"/>
  <c r="M219" i="40"/>
  <c r="N219" i="40"/>
  <c r="O219" i="40"/>
  <c r="P219" i="40"/>
  <c r="H220" i="40"/>
  <c r="I220" i="40"/>
  <c r="J220" i="40"/>
  <c r="K220" i="40"/>
  <c r="L220" i="40"/>
  <c r="M220" i="40"/>
  <c r="N220" i="40"/>
  <c r="O220" i="40"/>
  <c r="P220" i="40"/>
  <c r="H221" i="40"/>
  <c r="I221" i="40"/>
  <c r="J221" i="40"/>
  <c r="K221" i="40"/>
  <c r="L221" i="40"/>
  <c r="M221" i="40"/>
  <c r="N221" i="40"/>
  <c r="O221" i="40"/>
  <c r="P221" i="40"/>
  <c r="H222" i="40"/>
  <c r="H393" i="40" s="1"/>
  <c r="H562" i="40" s="1"/>
  <c r="I393" i="40" s="1"/>
  <c r="I222" i="40"/>
  <c r="J222" i="40"/>
  <c r="K222" i="40"/>
  <c r="L222" i="40"/>
  <c r="M222" i="40"/>
  <c r="N222" i="40"/>
  <c r="O222" i="40"/>
  <c r="P222" i="40"/>
  <c r="H223" i="40"/>
  <c r="H394" i="40" s="1"/>
  <c r="I223" i="40"/>
  <c r="J223" i="40"/>
  <c r="K223" i="40"/>
  <c r="L223" i="40"/>
  <c r="M223" i="40"/>
  <c r="N223" i="40"/>
  <c r="O223" i="40"/>
  <c r="P223" i="40"/>
  <c r="H226" i="40"/>
  <c r="H397" i="40" s="1"/>
  <c r="H566" i="40" s="1"/>
  <c r="I397" i="40" s="1"/>
  <c r="I226" i="40"/>
  <c r="J226" i="40"/>
  <c r="K226" i="40"/>
  <c r="L226" i="40"/>
  <c r="M226" i="40"/>
  <c r="N226" i="40"/>
  <c r="O226" i="40"/>
  <c r="P226" i="40"/>
  <c r="H227" i="40"/>
  <c r="I227" i="40"/>
  <c r="J227" i="40"/>
  <c r="K227" i="40"/>
  <c r="L227" i="40"/>
  <c r="M227" i="40"/>
  <c r="N227" i="40"/>
  <c r="O227" i="40"/>
  <c r="P227" i="40"/>
  <c r="H228" i="40"/>
  <c r="H399" i="40" s="1"/>
  <c r="H568" i="40" s="1"/>
  <c r="I228" i="40"/>
  <c r="J228" i="40"/>
  <c r="K228" i="40"/>
  <c r="L228" i="40"/>
  <c r="M228" i="40"/>
  <c r="N228" i="40"/>
  <c r="O228" i="40"/>
  <c r="P228" i="40"/>
  <c r="H229" i="40"/>
  <c r="I229" i="40"/>
  <c r="J229" i="40"/>
  <c r="K229" i="40"/>
  <c r="L229" i="40"/>
  <c r="M229" i="40"/>
  <c r="N229" i="40"/>
  <c r="O229" i="40"/>
  <c r="P229" i="40"/>
  <c r="H230" i="40"/>
  <c r="I230" i="40"/>
  <c r="J230" i="40"/>
  <c r="K230" i="40"/>
  <c r="L230" i="40"/>
  <c r="M230" i="40"/>
  <c r="N230" i="40"/>
  <c r="O230" i="40"/>
  <c r="P230" i="40"/>
  <c r="H231" i="40"/>
  <c r="I231" i="40"/>
  <c r="J231" i="40"/>
  <c r="K231" i="40"/>
  <c r="L231" i="40"/>
  <c r="M231" i="40"/>
  <c r="N231" i="40"/>
  <c r="O231" i="40"/>
  <c r="P231" i="40"/>
  <c r="H232" i="40"/>
  <c r="I232" i="40"/>
  <c r="J232" i="40"/>
  <c r="K232" i="40"/>
  <c r="L232" i="40"/>
  <c r="M232" i="40"/>
  <c r="N232" i="40"/>
  <c r="O232" i="40"/>
  <c r="P232" i="40"/>
  <c r="H233" i="40"/>
  <c r="H404" i="40" s="1"/>
  <c r="H573" i="40" s="1"/>
  <c r="I233" i="40"/>
  <c r="J233" i="40"/>
  <c r="K233" i="40"/>
  <c r="L233" i="40"/>
  <c r="M233" i="40"/>
  <c r="N233" i="40"/>
  <c r="O233" i="40"/>
  <c r="P233" i="40"/>
  <c r="H234" i="40"/>
  <c r="I234" i="40"/>
  <c r="J234" i="40"/>
  <c r="K234" i="40"/>
  <c r="L234" i="40"/>
  <c r="M234" i="40"/>
  <c r="N234" i="40"/>
  <c r="O234" i="40"/>
  <c r="P234" i="40"/>
  <c r="H235" i="40"/>
  <c r="I235" i="40"/>
  <c r="J235" i="40"/>
  <c r="K235" i="40"/>
  <c r="L235" i="40"/>
  <c r="M235" i="40"/>
  <c r="N235" i="40"/>
  <c r="O235" i="40"/>
  <c r="P235" i="40"/>
  <c r="H236" i="40"/>
  <c r="H407" i="40" s="1"/>
  <c r="H576" i="40" s="1"/>
  <c r="I236" i="40"/>
  <c r="J236" i="40"/>
  <c r="K236" i="40"/>
  <c r="L236" i="40"/>
  <c r="M236" i="40"/>
  <c r="N236" i="40"/>
  <c r="O236" i="40"/>
  <c r="P236" i="40"/>
  <c r="H237" i="40"/>
  <c r="I237" i="40"/>
  <c r="J237" i="40"/>
  <c r="K237" i="40"/>
  <c r="L237" i="40"/>
  <c r="M237" i="40"/>
  <c r="N237" i="40"/>
  <c r="O237" i="40"/>
  <c r="P237" i="40"/>
  <c r="H238" i="40"/>
  <c r="I238" i="40"/>
  <c r="J238" i="40"/>
  <c r="K238" i="40"/>
  <c r="L238" i="40"/>
  <c r="M238" i="40"/>
  <c r="N238" i="40"/>
  <c r="O238" i="40"/>
  <c r="P238" i="40"/>
  <c r="H239" i="40"/>
  <c r="I239" i="40"/>
  <c r="J239" i="40"/>
  <c r="K239" i="40"/>
  <c r="L239" i="40"/>
  <c r="M239" i="40"/>
  <c r="N239" i="40"/>
  <c r="O239" i="40"/>
  <c r="P239" i="40"/>
  <c r="H240" i="40"/>
  <c r="I240" i="40"/>
  <c r="J240" i="40"/>
  <c r="K240" i="40"/>
  <c r="L240" i="40"/>
  <c r="M240" i="40"/>
  <c r="N240" i="40"/>
  <c r="O240" i="40"/>
  <c r="P240" i="40"/>
  <c r="H241" i="40"/>
  <c r="H412" i="40" s="1"/>
  <c r="H581" i="40" s="1"/>
  <c r="I241" i="40"/>
  <c r="J241" i="40"/>
  <c r="K241" i="40"/>
  <c r="L241" i="40"/>
  <c r="M241" i="40"/>
  <c r="N241" i="40"/>
  <c r="O241" i="40"/>
  <c r="P241" i="40"/>
  <c r="H242" i="40"/>
  <c r="I242" i="40"/>
  <c r="J242" i="40"/>
  <c r="K242" i="40"/>
  <c r="L242" i="40"/>
  <c r="M242" i="40"/>
  <c r="N242" i="40"/>
  <c r="O242" i="40"/>
  <c r="P242" i="40"/>
  <c r="H243" i="40"/>
  <c r="I243" i="40"/>
  <c r="J243" i="40"/>
  <c r="K243" i="40"/>
  <c r="L243" i="40"/>
  <c r="M243" i="40"/>
  <c r="N243" i="40"/>
  <c r="O243" i="40"/>
  <c r="P243" i="40"/>
  <c r="H244" i="40"/>
  <c r="I244" i="40"/>
  <c r="J244" i="40"/>
  <c r="K244" i="40"/>
  <c r="L244" i="40"/>
  <c r="M244" i="40"/>
  <c r="N244" i="40"/>
  <c r="O244" i="40"/>
  <c r="P244" i="40"/>
  <c r="H245" i="40"/>
  <c r="I245" i="40"/>
  <c r="J245" i="40"/>
  <c r="K245" i="40"/>
  <c r="L245" i="40"/>
  <c r="M245" i="40"/>
  <c r="N245" i="40"/>
  <c r="O245" i="40"/>
  <c r="P245" i="40"/>
  <c r="H246" i="40"/>
  <c r="I246" i="40"/>
  <c r="J246" i="40"/>
  <c r="K246" i="40"/>
  <c r="L246" i="40"/>
  <c r="M246" i="40"/>
  <c r="N246" i="40"/>
  <c r="O246" i="40"/>
  <c r="P246" i="40"/>
  <c r="H247" i="40"/>
  <c r="I247" i="40"/>
  <c r="J247" i="40"/>
  <c r="K247" i="40"/>
  <c r="L247" i="40"/>
  <c r="M247" i="40"/>
  <c r="N247" i="40"/>
  <c r="O247" i="40"/>
  <c r="P247" i="40"/>
  <c r="H248" i="40"/>
  <c r="I248" i="40"/>
  <c r="J248" i="40"/>
  <c r="K248" i="40"/>
  <c r="L248" i="40"/>
  <c r="M248" i="40"/>
  <c r="N248" i="40"/>
  <c r="O248" i="40"/>
  <c r="P248" i="40"/>
  <c r="H249" i="40"/>
  <c r="H420" i="40" s="1"/>
  <c r="H589" i="40" s="1"/>
  <c r="I249" i="40"/>
  <c r="J249" i="40"/>
  <c r="K249" i="40"/>
  <c r="L249" i="40"/>
  <c r="M249" i="40"/>
  <c r="N249" i="40"/>
  <c r="O249" i="40"/>
  <c r="P249" i="40"/>
  <c r="H250" i="40"/>
  <c r="H421" i="40" s="1"/>
  <c r="H590" i="40" s="1"/>
  <c r="I421" i="40" s="1"/>
  <c r="I250" i="40"/>
  <c r="J250" i="40"/>
  <c r="K250" i="40"/>
  <c r="L250" i="40"/>
  <c r="M250" i="40"/>
  <c r="N250" i="40"/>
  <c r="O250" i="40"/>
  <c r="P250" i="40"/>
  <c r="H251" i="40"/>
  <c r="I251" i="40"/>
  <c r="J251" i="40"/>
  <c r="K251" i="40"/>
  <c r="L251" i="40"/>
  <c r="M251" i="40"/>
  <c r="N251" i="40"/>
  <c r="O251" i="40"/>
  <c r="P251" i="40"/>
  <c r="H252" i="40"/>
  <c r="H423" i="40" s="1"/>
  <c r="I252" i="40"/>
  <c r="J252" i="40"/>
  <c r="K252" i="40"/>
  <c r="L252" i="40"/>
  <c r="M252" i="40"/>
  <c r="N252" i="40"/>
  <c r="O252" i="40"/>
  <c r="P252" i="40"/>
  <c r="H253" i="40"/>
  <c r="I253" i="40"/>
  <c r="J253" i="40"/>
  <c r="K253" i="40"/>
  <c r="L253" i="40"/>
  <c r="M253" i="40"/>
  <c r="N253" i="40"/>
  <c r="O253" i="40"/>
  <c r="P253" i="40"/>
  <c r="H254" i="40"/>
  <c r="H425" i="40" s="1"/>
  <c r="H594" i="40" s="1"/>
  <c r="I254" i="40"/>
  <c r="J254" i="40"/>
  <c r="K254" i="40"/>
  <c r="L254" i="40"/>
  <c r="M254" i="40"/>
  <c r="N254" i="40"/>
  <c r="O254" i="40"/>
  <c r="P254" i="40"/>
  <c r="H255" i="40"/>
  <c r="I255" i="40"/>
  <c r="J255" i="40"/>
  <c r="K255" i="40"/>
  <c r="L255" i="40"/>
  <c r="M255" i="40"/>
  <c r="N255" i="40"/>
  <c r="O255" i="40"/>
  <c r="P255" i="40"/>
  <c r="H256" i="40"/>
  <c r="I256" i="40"/>
  <c r="J256" i="40"/>
  <c r="K256" i="40"/>
  <c r="L256" i="40"/>
  <c r="M256" i="40"/>
  <c r="N256" i="40"/>
  <c r="O256" i="40"/>
  <c r="P256" i="40"/>
  <c r="H257" i="40"/>
  <c r="H428" i="40" s="1"/>
  <c r="I257" i="40"/>
  <c r="J257" i="40"/>
  <c r="K257" i="40"/>
  <c r="L257" i="40"/>
  <c r="M257" i="40"/>
  <c r="N257" i="40"/>
  <c r="O257" i="40"/>
  <c r="P257" i="40"/>
  <c r="H258" i="40"/>
  <c r="H429" i="40" s="1"/>
  <c r="H598" i="40" s="1"/>
  <c r="I258" i="40"/>
  <c r="J258" i="40"/>
  <c r="K258" i="40"/>
  <c r="L258" i="40"/>
  <c r="M258" i="40"/>
  <c r="N258" i="40"/>
  <c r="O258" i="40"/>
  <c r="P258" i="40"/>
  <c r="H259" i="40"/>
  <c r="I259" i="40"/>
  <c r="J259" i="40"/>
  <c r="K259" i="40"/>
  <c r="L259" i="40"/>
  <c r="M259" i="40"/>
  <c r="N259" i="40"/>
  <c r="O259" i="40"/>
  <c r="P259" i="40"/>
  <c r="H260" i="40"/>
  <c r="I260" i="40"/>
  <c r="J260" i="40"/>
  <c r="K260" i="40"/>
  <c r="L260" i="40"/>
  <c r="M260" i="40"/>
  <c r="N260" i="40"/>
  <c r="O260" i="40"/>
  <c r="P260" i="40"/>
  <c r="H261" i="40"/>
  <c r="I261" i="40"/>
  <c r="J261" i="40"/>
  <c r="K261" i="40"/>
  <c r="L261" i="40"/>
  <c r="M261" i="40"/>
  <c r="N261" i="40"/>
  <c r="O261" i="40"/>
  <c r="P261" i="40"/>
  <c r="H262" i="40"/>
  <c r="I262" i="40"/>
  <c r="J262" i="40"/>
  <c r="K262" i="40"/>
  <c r="L262" i="40"/>
  <c r="M262" i="40"/>
  <c r="N262" i="40"/>
  <c r="O262" i="40"/>
  <c r="P262" i="40"/>
  <c r="H263" i="40"/>
  <c r="H434" i="40" s="1"/>
  <c r="H603" i="40" s="1"/>
  <c r="I263" i="40"/>
  <c r="J263" i="40"/>
  <c r="K263" i="40"/>
  <c r="L263" i="40"/>
  <c r="M263" i="40"/>
  <c r="N263" i="40"/>
  <c r="O263" i="40"/>
  <c r="P263" i="40"/>
  <c r="H264" i="40"/>
  <c r="I264" i="40"/>
  <c r="J264" i="40"/>
  <c r="K264" i="40"/>
  <c r="L264" i="40"/>
  <c r="M264" i="40"/>
  <c r="N264" i="40"/>
  <c r="O264" i="40"/>
  <c r="P264" i="40"/>
  <c r="H265" i="40"/>
  <c r="I265" i="40"/>
  <c r="J265" i="40"/>
  <c r="K265" i="40"/>
  <c r="L265" i="40"/>
  <c r="M265" i="40"/>
  <c r="N265" i="40"/>
  <c r="O265" i="40"/>
  <c r="P265" i="40"/>
  <c r="H266" i="40"/>
  <c r="I266" i="40"/>
  <c r="J266" i="40"/>
  <c r="K266" i="40"/>
  <c r="L266" i="40"/>
  <c r="M266" i="40"/>
  <c r="N266" i="40"/>
  <c r="O266" i="40"/>
  <c r="P266" i="40"/>
  <c r="H267" i="40"/>
  <c r="I267" i="40"/>
  <c r="J267" i="40"/>
  <c r="K267" i="40"/>
  <c r="L267" i="40"/>
  <c r="M267" i="40"/>
  <c r="N267" i="40"/>
  <c r="O267" i="40"/>
  <c r="P267" i="40"/>
  <c r="H268" i="40"/>
  <c r="I268" i="40"/>
  <c r="J268" i="40"/>
  <c r="K268" i="40"/>
  <c r="L268" i="40"/>
  <c r="M268" i="40"/>
  <c r="N268" i="40"/>
  <c r="O268" i="40"/>
  <c r="P268" i="40"/>
  <c r="H269" i="40"/>
  <c r="I269" i="40"/>
  <c r="J269" i="40"/>
  <c r="K269" i="40"/>
  <c r="L269" i="40"/>
  <c r="M269" i="40"/>
  <c r="N269" i="40"/>
  <c r="O269" i="40"/>
  <c r="P269" i="40"/>
  <c r="H270" i="40"/>
  <c r="I270" i="40"/>
  <c r="J270" i="40"/>
  <c r="K270" i="40"/>
  <c r="L270" i="40"/>
  <c r="M270" i="40"/>
  <c r="N270" i="40"/>
  <c r="O270" i="40"/>
  <c r="P270" i="40"/>
  <c r="H271" i="40"/>
  <c r="H442" i="40" s="1"/>
  <c r="H611" i="40" s="1"/>
  <c r="I271" i="40"/>
  <c r="J271" i="40"/>
  <c r="K271" i="40"/>
  <c r="L271" i="40"/>
  <c r="M271" i="40"/>
  <c r="N271" i="40"/>
  <c r="O271" i="40"/>
  <c r="P271" i="40"/>
  <c r="H272" i="40"/>
  <c r="I272" i="40"/>
  <c r="J272" i="40"/>
  <c r="K272" i="40"/>
  <c r="L272" i="40"/>
  <c r="M272" i="40"/>
  <c r="N272" i="40"/>
  <c r="O272" i="40"/>
  <c r="P272" i="40"/>
  <c r="H273" i="40"/>
  <c r="H444" i="40" s="1"/>
  <c r="I273" i="40"/>
  <c r="J273" i="40"/>
  <c r="K273" i="40"/>
  <c r="L273" i="40"/>
  <c r="M273" i="40"/>
  <c r="N273" i="40"/>
  <c r="O273" i="40"/>
  <c r="P273" i="40"/>
  <c r="H274" i="40"/>
  <c r="I274" i="40"/>
  <c r="J274" i="40"/>
  <c r="K274" i="40"/>
  <c r="L274" i="40"/>
  <c r="M274" i="40"/>
  <c r="N274" i="40"/>
  <c r="O274" i="40"/>
  <c r="P274" i="40"/>
  <c r="H275" i="40"/>
  <c r="I275" i="40"/>
  <c r="J275" i="40"/>
  <c r="K275" i="40"/>
  <c r="L275" i="40"/>
  <c r="M275" i="40"/>
  <c r="N275" i="40"/>
  <c r="O275" i="40"/>
  <c r="P275" i="40"/>
  <c r="H276" i="40"/>
  <c r="H447" i="40" s="1"/>
  <c r="H616" i="40" s="1"/>
  <c r="I447" i="40" s="1"/>
  <c r="I276" i="40"/>
  <c r="J276" i="40"/>
  <c r="K276" i="40"/>
  <c r="L276" i="40"/>
  <c r="M276" i="40"/>
  <c r="N276" i="40"/>
  <c r="O276" i="40"/>
  <c r="P276" i="40"/>
  <c r="H277" i="40"/>
  <c r="I277" i="40"/>
  <c r="J277" i="40"/>
  <c r="K277" i="40"/>
  <c r="L277" i="40"/>
  <c r="M277" i="40"/>
  <c r="N277" i="40"/>
  <c r="O277" i="40"/>
  <c r="P277" i="40"/>
  <c r="H278" i="40"/>
  <c r="H449" i="40" s="1"/>
  <c r="H618" i="40" s="1"/>
  <c r="I278" i="40"/>
  <c r="J278" i="40"/>
  <c r="K278" i="40"/>
  <c r="L278" i="40"/>
  <c r="M278" i="40"/>
  <c r="N278" i="40"/>
  <c r="O278" i="40"/>
  <c r="P278" i="40"/>
  <c r="H279" i="40"/>
  <c r="I279" i="40"/>
  <c r="J279" i="40"/>
  <c r="K279" i="40"/>
  <c r="L279" i="40"/>
  <c r="M279" i="40"/>
  <c r="N279" i="40"/>
  <c r="O279" i="40"/>
  <c r="P279" i="40"/>
  <c r="H280" i="40"/>
  <c r="I280" i="40"/>
  <c r="J280" i="40"/>
  <c r="K280" i="40"/>
  <c r="L280" i="40"/>
  <c r="M280" i="40"/>
  <c r="N280" i="40"/>
  <c r="O280" i="40"/>
  <c r="P280" i="40"/>
  <c r="H281" i="40"/>
  <c r="H452" i="40" s="1"/>
  <c r="I281" i="40"/>
  <c r="J281" i="40"/>
  <c r="K281" i="40"/>
  <c r="L281" i="40"/>
  <c r="M281" i="40"/>
  <c r="N281" i="40"/>
  <c r="O281" i="40"/>
  <c r="P281" i="40"/>
  <c r="H282" i="40"/>
  <c r="H453" i="40" s="1"/>
  <c r="H622" i="40" s="1"/>
  <c r="I453" i="40" s="1"/>
  <c r="I282" i="40"/>
  <c r="J282" i="40"/>
  <c r="K282" i="40"/>
  <c r="L282" i="40"/>
  <c r="M282" i="40"/>
  <c r="N282" i="40"/>
  <c r="O282" i="40"/>
  <c r="P282" i="40"/>
  <c r="H283" i="40"/>
  <c r="I283" i="40"/>
  <c r="J283" i="40"/>
  <c r="K283" i="40"/>
  <c r="L283" i="40"/>
  <c r="M283" i="40"/>
  <c r="N283" i="40"/>
  <c r="O283" i="40"/>
  <c r="P283" i="40"/>
  <c r="H284" i="40"/>
  <c r="H455" i="40" s="1"/>
  <c r="H624" i="40" s="1"/>
  <c r="I284" i="40"/>
  <c r="J284" i="40"/>
  <c r="K284" i="40"/>
  <c r="L284" i="40"/>
  <c r="M284" i="40"/>
  <c r="N284" i="40"/>
  <c r="O284" i="40"/>
  <c r="P284" i="40"/>
  <c r="H285" i="40"/>
  <c r="I285" i="40"/>
  <c r="J285" i="40"/>
  <c r="K285" i="40"/>
  <c r="L285" i="40"/>
  <c r="M285" i="40"/>
  <c r="N285" i="40"/>
  <c r="O285" i="40"/>
  <c r="P285" i="40"/>
  <c r="H286" i="40"/>
  <c r="I286" i="40"/>
  <c r="J286" i="40"/>
  <c r="K286" i="40"/>
  <c r="L286" i="40"/>
  <c r="M286" i="40"/>
  <c r="N286" i="40"/>
  <c r="O286" i="40"/>
  <c r="P286" i="40"/>
  <c r="H287" i="40"/>
  <c r="I287" i="40"/>
  <c r="J287" i="40"/>
  <c r="K287" i="40"/>
  <c r="L287" i="40"/>
  <c r="M287" i="40"/>
  <c r="N287" i="40"/>
  <c r="O287" i="40"/>
  <c r="P287" i="40"/>
  <c r="H288" i="40"/>
  <c r="H459" i="40" s="1"/>
  <c r="I288" i="40"/>
  <c r="J288" i="40"/>
  <c r="K288" i="40"/>
  <c r="L288" i="40"/>
  <c r="M288" i="40"/>
  <c r="N288" i="40"/>
  <c r="O288" i="40"/>
  <c r="P288" i="40"/>
  <c r="H289" i="40"/>
  <c r="H460" i="40" s="1"/>
  <c r="I289" i="40"/>
  <c r="J289" i="40"/>
  <c r="K289" i="40"/>
  <c r="L289" i="40"/>
  <c r="M289" i="40"/>
  <c r="N289" i="40"/>
  <c r="O289" i="40"/>
  <c r="P289" i="40"/>
  <c r="H290" i="40"/>
  <c r="H461" i="40" s="1"/>
  <c r="H630" i="40" s="1"/>
  <c r="I290" i="40"/>
  <c r="J290" i="40"/>
  <c r="K290" i="40"/>
  <c r="L290" i="40"/>
  <c r="M290" i="40"/>
  <c r="N290" i="40"/>
  <c r="O290" i="40"/>
  <c r="P290" i="40"/>
  <c r="H291" i="40"/>
  <c r="I291" i="40"/>
  <c r="J291" i="40"/>
  <c r="K291" i="40"/>
  <c r="L291" i="40"/>
  <c r="M291" i="40"/>
  <c r="N291" i="40"/>
  <c r="O291" i="40"/>
  <c r="P291" i="40"/>
  <c r="H292" i="40"/>
  <c r="H463" i="40" s="1"/>
  <c r="I292" i="40"/>
  <c r="J292" i="40"/>
  <c r="K292" i="40"/>
  <c r="L292" i="40"/>
  <c r="M292" i="40"/>
  <c r="N292" i="40"/>
  <c r="O292" i="40"/>
  <c r="P292" i="40"/>
  <c r="H295" i="40"/>
  <c r="I295" i="40"/>
  <c r="J295" i="40"/>
  <c r="K295" i="40"/>
  <c r="L295" i="40"/>
  <c r="M295" i="40"/>
  <c r="N295" i="40"/>
  <c r="O295" i="40"/>
  <c r="P295" i="40"/>
  <c r="H296" i="40"/>
  <c r="H467" i="40" s="1"/>
  <c r="I296" i="40"/>
  <c r="J296" i="40"/>
  <c r="K296" i="40"/>
  <c r="L296" i="40"/>
  <c r="M296" i="40"/>
  <c r="N296" i="40"/>
  <c r="O296" i="40"/>
  <c r="P296" i="40"/>
  <c r="H297" i="40"/>
  <c r="I297" i="40"/>
  <c r="J297" i="40"/>
  <c r="K297" i="40"/>
  <c r="L297" i="40"/>
  <c r="M297" i="40"/>
  <c r="N297" i="40"/>
  <c r="O297" i="40"/>
  <c r="P297" i="40"/>
  <c r="H298" i="40"/>
  <c r="H469" i="40" s="1"/>
  <c r="I298" i="40"/>
  <c r="J298" i="40"/>
  <c r="K298" i="40"/>
  <c r="L298" i="40"/>
  <c r="M298" i="40"/>
  <c r="N298" i="40"/>
  <c r="O298" i="40"/>
  <c r="P298" i="40"/>
  <c r="H299" i="40"/>
  <c r="H470" i="40" s="1"/>
  <c r="H639" i="40" s="1"/>
  <c r="I299" i="40"/>
  <c r="J299" i="40"/>
  <c r="K299" i="40"/>
  <c r="L299" i="40"/>
  <c r="M299" i="40"/>
  <c r="N299" i="40"/>
  <c r="O299" i="40"/>
  <c r="P299" i="40"/>
  <c r="H300" i="40"/>
  <c r="H471" i="40" s="1"/>
  <c r="H640" i="40" s="1"/>
  <c r="I300" i="40"/>
  <c r="J300" i="40"/>
  <c r="K300" i="40"/>
  <c r="L300" i="40"/>
  <c r="M300" i="40"/>
  <c r="N300" i="40"/>
  <c r="O300" i="40"/>
  <c r="P300" i="40"/>
  <c r="H301" i="40"/>
  <c r="I301" i="40"/>
  <c r="J301" i="40"/>
  <c r="K301" i="40"/>
  <c r="L301" i="40"/>
  <c r="M301" i="40"/>
  <c r="N301" i="40"/>
  <c r="O301" i="40"/>
  <c r="P301" i="40"/>
  <c r="H302" i="40"/>
  <c r="H473" i="40" s="1"/>
  <c r="H642" i="40" s="1"/>
  <c r="I473" i="40" s="1"/>
  <c r="I302" i="40"/>
  <c r="J302" i="40"/>
  <c r="K302" i="40"/>
  <c r="L302" i="40"/>
  <c r="M302" i="40"/>
  <c r="N302" i="40"/>
  <c r="O302" i="40"/>
  <c r="P302" i="40"/>
  <c r="H303" i="40"/>
  <c r="I303" i="40"/>
  <c r="J303" i="40"/>
  <c r="K303" i="40"/>
  <c r="L303" i="40"/>
  <c r="M303" i="40"/>
  <c r="N303" i="40"/>
  <c r="O303" i="40"/>
  <c r="P303" i="40"/>
  <c r="H304" i="40"/>
  <c r="H475" i="40" s="1"/>
  <c r="H644" i="40" s="1"/>
  <c r="I304" i="40"/>
  <c r="J304" i="40"/>
  <c r="K304" i="40"/>
  <c r="L304" i="40"/>
  <c r="M304" i="40"/>
  <c r="N304" i="40"/>
  <c r="O304" i="40"/>
  <c r="P304" i="40"/>
  <c r="H305" i="40"/>
  <c r="H476" i="40" s="1"/>
  <c r="H645" i="40" s="1"/>
  <c r="I305" i="40"/>
  <c r="J305" i="40"/>
  <c r="K305" i="40"/>
  <c r="L305" i="40"/>
  <c r="M305" i="40"/>
  <c r="N305" i="40"/>
  <c r="O305" i="40"/>
  <c r="P305" i="40"/>
  <c r="H306" i="40"/>
  <c r="H477" i="40" s="1"/>
  <c r="H646" i="40" s="1"/>
  <c r="I306" i="40"/>
  <c r="J306" i="40"/>
  <c r="K306" i="40"/>
  <c r="L306" i="40"/>
  <c r="M306" i="40"/>
  <c r="N306" i="40"/>
  <c r="O306" i="40"/>
  <c r="P306" i="40"/>
  <c r="H307" i="40"/>
  <c r="I307" i="40"/>
  <c r="J307" i="40"/>
  <c r="K307" i="40"/>
  <c r="L307" i="40"/>
  <c r="M307" i="40"/>
  <c r="N307" i="40"/>
  <c r="O307" i="40"/>
  <c r="P307" i="40"/>
  <c r="H308" i="40"/>
  <c r="H479" i="40" s="1"/>
  <c r="H648" i="40" s="1"/>
  <c r="I308" i="40"/>
  <c r="J308" i="40"/>
  <c r="K308" i="40"/>
  <c r="L308" i="40"/>
  <c r="M308" i="40"/>
  <c r="N308" i="40"/>
  <c r="O308" i="40"/>
  <c r="P308" i="40"/>
  <c r="H309" i="40"/>
  <c r="I309" i="40"/>
  <c r="J309" i="40"/>
  <c r="K309" i="40"/>
  <c r="L309" i="40"/>
  <c r="M309" i="40"/>
  <c r="N309" i="40"/>
  <c r="O309" i="40"/>
  <c r="P309" i="40"/>
  <c r="H310" i="40"/>
  <c r="H481" i="40" s="1"/>
  <c r="H650" i="40" s="1"/>
  <c r="I481" i="40" s="1"/>
  <c r="I310" i="40"/>
  <c r="J310" i="40"/>
  <c r="K310" i="40"/>
  <c r="L310" i="40"/>
  <c r="M310" i="40"/>
  <c r="N310" i="40"/>
  <c r="O310" i="40"/>
  <c r="P310" i="40"/>
  <c r="H311" i="40"/>
  <c r="I311" i="40"/>
  <c r="J311" i="40"/>
  <c r="K311" i="40"/>
  <c r="L311" i="40"/>
  <c r="M311" i="40"/>
  <c r="N311" i="40"/>
  <c r="O311" i="40"/>
  <c r="P311" i="40"/>
  <c r="H312" i="40"/>
  <c r="I312" i="40"/>
  <c r="J312" i="40"/>
  <c r="K312" i="40"/>
  <c r="L312" i="40"/>
  <c r="M312" i="40"/>
  <c r="N312" i="40"/>
  <c r="O312" i="40"/>
  <c r="P312" i="40"/>
  <c r="H313" i="40"/>
  <c r="H484" i="40" s="1"/>
  <c r="H653" i="40" s="1"/>
  <c r="I313" i="40"/>
  <c r="J313" i="40"/>
  <c r="K313" i="40"/>
  <c r="L313" i="40"/>
  <c r="M313" i="40"/>
  <c r="N313" i="40"/>
  <c r="O313" i="40"/>
  <c r="P313" i="40"/>
  <c r="H314" i="40"/>
  <c r="H485" i="40" s="1"/>
  <c r="H654" i="40" s="1"/>
  <c r="I314" i="40"/>
  <c r="J314" i="40"/>
  <c r="K314" i="40"/>
  <c r="L314" i="40"/>
  <c r="M314" i="40"/>
  <c r="N314" i="40"/>
  <c r="O314" i="40"/>
  <c r="P314" i="40"/>
  <c r="H315" i="40"/>
  <c r="I315" i="40"/>
  <c r="J315" i="40"/>
  <c r="K315" i="40"/>
  <c r="L315" i="40"/>
  <c r="M315" i="40"/>
  <c r="N315" i="40"/>
  <c r="O315" i="40"/>
  <c r="P315" i="40"/>
  <c r="H316" i="40"/>
  <c r="H487" i="40" s="1"/>
  <c r="H656" i="40" s="1"/>
  <c r="I316" i="40"/>
  <c r="J316" i="40"/>
  <c r="K316" i="40"/>
  <c r="L316" i="40"/>
  <c r="M316" i="40"/>
  <c r="N316" i="40"/>
  <c r="O316" i="40"/>
  <c r="P316" i="40"/>
  <c r="H317" i="40"/>
  <c r="I317" i="40"/>
  <c r="J317" i="40"/>
  <c r="K317" i="40"/>
  <c r="L317" i="40"/>
  <c r="M317" i="40"/>
  <c r="N317" i="40"/>
  <c r="O317" i="40"/>
  <c r="P317" i="40"/>
  <c r="H318" i="40"/>
  <c r="H489" i="40" s="1"/>
  <c r="H658" i="40" s="1"/>
  <c r="I489" i="40" s="1"/>
  <c r="I318" i="40"/>
  <c r="J318" i="40"/>
  <c r="K318" i="40"/>
  <c r="L318" i="40"/>
  <c r="M318" i="40"/>
  <c r="N318" i="40"/>
  <c r="O318" i="40"/>
  <c r="P318" i="40"/>
  <c r="H319" i="40"/>
  <c r="I319" i="40"/>
  <c r="J319" i="40"/>
  <c r="K319" i="40"/>
  <c r="L319" i="40"/>
  <c r="M319" i="40"/>
  <c r="N319" i="40"/>
  <c r="O319" i="40"/>
  <c r="P319" i="40"/>
  <c r="H320" i="40"/>
  <c r="H491" i="40" s="1"/>
  <c r="H660" i="40" s="1"/>
  <c r="I320" i="40"/>
  <c r="J320" i="40"/>
  <c r="K320" i="40"/>
  <c r="L320" i="40"/>
  <c r="M320" i="40"/>
  <c r="N320" i="40"/>
  <c r="O320" i="40"/>
  <c r="P320" i="40"/>
  <c r="H321" i="40"/>
  <c r="I321" i="40"/>
  <c r="J321" i="40"/>
  <c r="K321" i="40"/>
  <c r="L321" i="40"/>
  <c r="M321" i="40"/>
  <c r="N321" i="40"/>
  <c r="O321" i="40"/>
  <c r="P321" i="40"/>
  <c r="H322" i="40"/>
  <c r="H493" i="40" s="1"/>
  <c r="H662" i="40" s="1"/>
  <c r="I322" i="40"/>
  <c r="J322" i="40"/>
  <c r="K322" i="40"/>
  <c r="L322" i="40"/>
  <c r="M322" i="40"/>
  <c r="N322" i="40"/>
  <c r="O322" i="40"/>
  <c r="P322" i="40"/>
  <c r="H323" i="40"/>
  <c r="I323" i="40"/>
  <c r="J323" i="40"/>
  <c r="K323" i="40"/>
  <c r="L323" i="40"/>
  <c r="M323" i="40"/>
  <c r="N323" i="40"/>
  <c r="O323" i="40"/>
  <c r="P323" i="40"/>
  <c r="H324" i="40"/>
  <c r="H495" i="40" s="1"/>
  <c r="H664" i="40" s="1"/>
  <c r="I324" i="40"/>
  <c r="J324" i="40"/>
  <c r="K324" i="40"/>
  <c r="L324" i="40"/>
  <c r="M324" i="40"/>
  <c r="N324" i="40"/>
  <c r="O324" i="40"/>
  <c r="P324" i="40"/>
  <c r="H325" i="40"/>
  <c r="I325" i="40"/>
  <c r="J325" i="40"/>
  <c r="K325" i="40"/>
  <c r="L325" i="40"/>
  <c r="M325" i="40"/>
  <c r="N325" i="40"/>
  <c r="O325" i="40"/>
  <c r="P325" i="40"/>
  <c r="H326" i="40"/>
  <c r="H497" i="40" s="1"/>
  <c r="H666" i="40" s="1"/>
  <c r="I497" i="40" s="1"/>
  <c r="I326" i="40"/>
  <c r="J326" i="40"/>
  <c r="K326" i="40"/>
  <c r="L326" i="40"/>
  <c r="M326" i="40"/>
  <c r="N326" i="40"/>
  <c r="O326" i="40"/>
  <c r="P326" i="40"/>
  <c r="H327" i="40"/>
  <c r="I327" i="40"/>
  <c r="J327" i="40"/>
  <c r="K327" i="40"/>
  <c r="L327" i="40"/>
  <c r="M327" i="40"/>
  <c r="N327" i="40"/>
  <c r="O327" i="40"/>
  <c r="P327" i="40"/>
  <c r="H328" i="40"/>
  <c r="H499" i="40" s="1"/>
  <c r="H668" i="40" s="1"/>
  <c r="I328" i="40"/>
  <c r="J328" i="40"/>
  <c r="K328" i="40"/>
  <c r="L328" i="40"/>
  <c r="M328" i="40"/>
  <c r="N328" i="40"/>
  <c r="O328" i="40"/>
  <c r="P328" i="40"/>
  <c r="H329" i="40"/>
  <c r="I329" i="40"/>
  <c r="J329" i="40"/>
  <c r="K329" i="40"/>
  <c r="L329" i="40"/>
  <c r="M329" i="40"/>
  <c r="N329" i="40"/>
  <c r="O329" i="40"/>
  <c r="P329" i="40"/>
  <c r="H330" i="40"/>
  <c r="H501" i="40" s="1"/>
  <c r="H670" i="40" s="1"/>
  <c r="I330" i="40"/>
  <c r="J330" i="40"/>
  <c r="K330" i="40"/>
  <c r="L330" i="40"/>
  <c r="M330" i="40"/>
  <c r="N330" i="40"/>
  <c r="O330" i="40"/>
  <c r="P330" i="40"/>
  <c r="H331" i="40"/>
  <c r="I331" i="40"/>
  <c r="J331" i="40"/>
  <c r="K331" i="40"/>
  <c r="L331" i="40"/>
  <c r="M331" i="40"/>
  <c r="N331" i="40"/>
  <c r="O331" i="40"/>
  <c r="P331" i="40"/>
  <c r="H332" i="40"/>
  <c r="H503" i="40" s="1"/>
  <c r="I332" i="40"/>
  <c r="J332" i="40"/>
  <c r="K332" i="40"/>
  <c r="L332" i="40"/>
  <c r="M332" i="40"/>
  <c r="N332" i="40"/>
  <c r="O332" i="40"/>
  <c r="P332" i="40"/>
  <c r="H333" i="40"/>
  <c r="I333" i="40"/>
  <c r="J333" i="40"/>
  <c r="K333" i="40"/>
  <c r="L333" i="40"/>
  <c r="M333" i="40"/>
  <c r="N333" i="40"/>
  <c r="O333" i="40"/>
  <c r="P333" i="40"/>
  <c r="H334" i="40"/>
  <c r="H505" i="40" s="1"/>
  <c r="H674" i="40" s="1"/>
  <c r="I505" i="40" s="1"/>
  <c r="I334" i="40"/>
  <c r="J334" i="40"/>
  <c r="K334" i="40"/>
  <c r="L334" i="40"/>
  <c r="M334" i="40"/>
  <c r="N334" i="40"/>
  <c r="O334" i="40"/>
  <c r="P334" i="40"/>
  <c r="H335" i="40"/>
  <c r="I335" i="40"/>
  <c r="J335" i="40"/>
  <c r="K335" i="40"/>
  <c r="L335" i="40"/>
  <c r="M335" i="40"/>
  <c r="N335" i="40"/>
  <c r="O335" i="40"/>
  <c r="P335" i="40"/>
  <c r="H336" i="40"/>
  <c r="H507" i="40" s="1"/>
  <c r="I336" i="40"/>
  <c r="J336" i="40"/>
  <c r="K336" i="40"/>
  <c r="L336" i="40"/>
  <c r="M336" i="40"/>
  <c r="N336" i="40"/>
  <c r="O336" i="40"/>
  <c r="P336" i="40"/>
  <c r="H337" i="40"/>
  <c r="H508" i="40" s="1"/>
  <c r="H677" i="40" s="1"/>
  <c r="I337" i="40"/>
  <c r="J337" i="40"/>
  <c r="K337" i="40"/>
  <c r="L337" i="40"/>
  <c r="M337" i="40"/>
  <c r="N337" i="40"/>
  <c r="O337" i="40"/>
  <c r="P337" i="40"/>
  <c r="H338" i="40"/>
  <c r="H509" i="40" s="1"/>
  <c r="H678" i="40" s="1"/>
  <c r="I338" i="40"/>
  <c r="J338" i="40"/>
  <c r="K338" i="40"/>
  <c r="L338" i="40"/>
  <c r="M338" i="40"/>
  <c r="N338" i="40"/>
  <c r="O338" i="40"/>
  <c r="P338" i="40"/>
  <c r="H339" i="40"/>
  <c r="I339" i="40"/>
  <c r="J339" i="40"/>
  <c r="K339" i="40"/>
  <c r="L339" i="40"/>
  <c r="M339" i="40"/>
  <c r="N339" i="40"/>
  <c r="O339" i="40"/>
  <c r="P339" i="40"/>
  <c r="H340" i="40"/>
  <c r="H511" i="40" s="1"/>
  <c r="H680" i="40" s="1"/>
  <c r="I340" i="40"/>
  <c r="J340" i="40"/>
  <c r="K340" i="40"/>
  <c r="L340" i="40"/>
  <c r="M340" i="40"/>
  <c r="N340" i="40"/>
  <c r="O340" i="40"/>
  <c r="P340" i="40"/>
  <c r="H341" i="40"/>
  <c r="I341" i="40"/>
  <c r="J341" i="40"/>
  <c r="K341" i="40"/>
  <c r="L341" i="40"/>
  <c r="M341" i="40"/>
  <c r="N341" i="40"/>
  <c r="O341" i="40"/>
  <c r="P341" i="40"/>
  <c r="H342" i="40"/>
  <c r="I342" i="40"/>
  <c r="J342" i="40"/>
  <c r="K342" i="40"/>
  <c r="L342" i="40"/>
  <c r="M342" i="40"/>
  <c r="N342" i="40"/>
  <c r="O342" i="40"/>
  <c r="P342" i="40"/>
  <c r="H343" i="40"/>
  <c r="I343" i="40"/>
  <c r="J343" i="40"/>
  <c r="K343" i="40"/>
  <c r="L343" i="40"/>
  <c r="M343" i="40"/>
  <c r="N343" i="40"/>
  <c r="O343" i="40"/>
  <c r="P343" i="40"/>
  <c r="H344" i="40"/>
  <c r="H515" i="40" s="1"/>
  <c r="H684" i="40" s="1"/>
  <c r="I344" i="40"/>
  <c r="J344" i="40"/>
  <c r="K344" i="40"/>
  <c r="L344" i="40"/>
  <c r="M344" i="40"/>
  <c r="N344" i="40"/>
  <c r="O344" i="40"/>
  <c r="P344" i="40"/>
  <c r="H345" i="40"/>
  <c r="H516" i="40" s="1"/>
  <c r="H685" i="40" s="1"/>
  <c r="I345" i="40"/>
  <c r="J345" i="40"/>
  <c r="K345" i="40"/>
  <c r="L345" i="40"/>
  <c r="M345" i="40"/>
  <c r="N345" i="40"/>
  <c r="O345" i="40"/>
  <c r="P345" i="40"/>
  <c r="H346" i="40"/>
  <c r="H517" i="40" s="1"/>
  <c r="H686" i="40" s="1"/>
  <c r="I346" i="40"/>
  <c r="J346" i="40"/>
  <c r="K346" i="40"/>
  <c r="L346" i="40"/>
  <c r="M346" i="40"/>
  <c r="N346" i="40"/>
  <c r="O346" i="40"/>
  <c r="P346" i="40"/>
  <c r="H347" i="40"/>
  <c r="I347" i="40"/>
  <c r="J347" i="40"/>
  <c r="K347" i="40"/>
  <c r="L347" i="40"/>
  <c r="M347" i="40"/>
  <c r="N347" i="40"/>
  <c r="O347" i="40"/>
  <c r="P347" i="40"/>
  <c r="H360" i="40"/>
  <c r="H363" i="40"/>
  <c r="H532" i="40" s="1"/>
  <c r="H364" i="40"/>
  <c r="H365" i="40"/>
  <c r="H534" i="40" s="1"/>
  <c r="I365" i="40" s="1"/>
  <c r="H373" i="40"/>
  <c r="H542" i="40" s="1"/>
  <c r="I373" i="40" s="1"/>
  <c r="H374" i="40"/>
  <c r="H382" i="40"/>
  <c r="H383" i="40"/>
  <c r="H552" i="40" s="1"/>
  <c r="H386" i="40"/>
  <c r="H391" i="40"/>
  <c r="H560" i="40" s="1"/>
  <c r="H401" i="40"/>
  <c r="H570" i="40" s="1"/>
  <c r="H408" i="40"/>
  <c r="H577" i="40" s="1"/>
  <c r="H409" i="40"/>
  <c r="H578" i="40" s="1"/>
  <c r="H415" i="40"/>
  <c r="H584" i="40" s="1"/>
  <c r="H416" i="40"/>
  <c r="H585" i="40" s="1"/>
  <c r="I416" i="40" s="1"/>
  <c r="H417" i="40"/>
  <c r="H586" i="40" s="1"/>
  <c r="H424" i="40"/>
  <c r="H593" i="40" s="1"/>
  <c r="H430" i="40"/>
  <c r="H599" i="40" s="1"/>
  <c r="H431" i="40"/>
  <c r="H600" i="40" s="1"/>
  <c r="H433" i="40"/>
  <c r="H602" i="40" s="1"/>
  <c r="H436" i="40"/>
  <c r="H437" i="40"/>
  <c r="H606" i="40" s="1"/>
  <c r="I437" i="40" s="1"/>
  <c r="H439" i="40"/>
  <c r="H608" i="40" s="1"/>
  <c r="I439" i="40" s="1"/>
  <c r="H440" i="40"/>
  <c r="H441" i="40"/>
  <c r="H610" i="40" s="1"/>
  <c r="I441" i="40" s="1"/>
  <c r="H446" i="40"/>
  <c r="H615" i="40" s="1"/>
  <c r="H448" i="40"/>
  <c r="H454" i="40"/>
  <c r="H623" i="40" s="1"/>
  <c r="H458" i="40"/>
  <c r="H627" i="40" s="1"/>
  <c r="H462" i="40"/>
  <c r="H468" i="40"/>
  <c r="H637" i="40" s="1"/>
  <c r="H474" i="40"/>
  <c r="H643" i="40" s="1"/>
  <c r="I474" i="40" s="1"/>
  <c r="H482" i="40"/>
  <c r="H651" i="40" s="1"/>
  <c r="I482" i="40" s="1"/>
  <c r="H483" i="40"/>
  <c r="H652" i="40" s="1"/>
  <c r="H490" i="40"/>
  <c r="H659" i="40" s="1"/>
  <c r="H492" i="40"/>
  <c r="H661" i="40" s="1"/>
  <c r="H498" i="40"/>
  <c r="H667" i="40" s="1"/>
  <c r="H500" i="40"/>
  <c r="H669" i="40" s="1"/>
  <c r="H504" i="40"/>
  <c r="H673" i="40" s="1"/>
  <c r="H506" i="40"/>
  <c r="H675" i="40" s="1"/>
  <c r="I506" i="40" s="1"/>
  <c r="H513" i="40"/>
  <c r="H682" i="40" s="1"/>
  <c r="H514" i="40"/>
  <c r="H683" i="40" s="1"/>
  <c r="B522" i="40"/>
  <c r="C523" i="40"/>
  <c r="C524" i="40"/>
  <c r="B526" i="40"/>
  <c r="C527" i="40"/>
  <c r="C528" i="40"/>
  <c r="C529" i="40"/>
  <c r="C530" i="40"/>
  <c r="C531" i="40"/>
  <c r="C532" i="40"/>
  <c r="C533" i="40"/>
  <c r="C534" i="40"/>
  <c r="B536" i="40"/>
  <c r="C537" i="40"/>
  <c r="C538" i="40"/>
  <c r="C539" i="40"/>
  <c r="C540" i="40"/>
  <c r="C541" i="40"/>
  <c r="C542" i="40"/>
  <c r="C543" i="40"/>
  <c r="C544" i="40"/>
  <c r="C545" i="40"/>
  <c r="C546" i="40"/>
  <c r="C547" i="40"/>
  <c r="C548" i="40"/>
  <c r="C549" i="40"/>
  <c r="C550" i="40"/>
  <c r="C551" i="40"/>
  <c r="C552" i="40"/>
  <c r="C553" i="40"/>
  <c r="C554" i="40"/>
  <c r="C555" i="40"/>
  <c r="C556" i="40"/>
  <c r="C557" i="40"/>
  <c r="C558" i="40"/>
  <c r="C559" i="40"/>
  <c r="C560" i="40"/>
  <c r="C561" i="40"/>
  <c r="C562" i="40"/>
  <c r="C563" i="40"/>
  <c r="B565" i="40"/>
  <c r="C566" i="40"/>
  <c r="C567" i="40"/>
  <c r="C568" i="40"/>
  <c r="C569" i="40"/>
  <c r="C570" i="40"/>
  <c r="C571" i="40"/>
  <c r="C572" i="40"/>
  <c r="C573" i="40"/>
  <c r="C574" i="40"/>
  <c r="C575" i="40"/>
  <c r="C576" i="40"/>
  <c r="C577" i="40"/>
  <c r="C578" i="40"/>
  <c r="C579" i="40"/>
  <c r="C580" i="40"/>
  <c r="C581" i="40"/>
  <c r="C582" i="40"/>
  <c r="C583" i="40"/>
  <c r="C584" i="40"/>
  <c r="C585" i="40"/>
  <c r="C586" i="40"/>
  <c r="C587" i="40"/>
  <c r="C588" i="40"/>
  <c r="C589" i="40"/>
  <c r="C590" i="40"/>
  <c r="C591" i="40"/>
  <c r="C592" i="40"/>
  <c r="C593" i="40"/>
  <c r="C594" i="40"/>
  <c r="C595" i="40"/>
  <c r="C596" i="40"/>
  <c r="C597" i="40"/>
  <c r="C598" i="40"/>
  <c r="C599" i="40"/>
  <c r="C600" i="40"/>
  <c r="C601" i="40"/>
  <c r="C602" i="40"/>
  <c r="C603" i="40"/>
  <c r="C604" i="40"/>
  <c r="C605" i="40"/>
  <c r="C606" i="40"/>
  <c r="C607" i="40"/>
  <c r="C608" i="40"/>
  <c r="C609" i="40"/>
  <c r="C610" i="40"/>
  <c r="C611" i="40"/>
  <c r="C612" i="40"/>
  <c r="C613" i="40"/>
  <c r="C614" i="40"/>
  <c r="C615" i="40"/>
  <c r="C616" i="40"/>
  <c r="C617" i="40"/>
  <c r="C618" i="40"/>
  <c r="C619" i="40"/>
  <c r="C620" i="40"/>
  <c r="C621" i="40"/>
  <c r="C622" i="40"/>
  <c r="C623" i="40"/>
  <c r="C624" i="40"/>
  <c r="C625" i="40"/>
  <c r="C626" i="40"/>
  <c r="C627" i="40"/>
  <c r="C628" i="40"/>
  <c r="C629" i="40"/>
  <c r="C630" i="40"/>
  <c r="C631" i="40"/>
  <c r="C632" i="40"/>
  <c r="B634" i="40"/>
  <c r="C635" i="40"/>
  <c r="C636" i="40"/>
  <c r="C637" i="40"/>
  <c r="C638" i="40"/>
  <c r="C639" i="40"/>
  <c r="C640" i="40"/>
  <c r="C641" i="40"/>
  <c r="C642" i="40"/>
  <c r="C643" i="40"/>
  <c r="C644" i="40"/>
  <c r="C645" i="40"/>
  <c r="C646" i="40"/>
  <c r="C647" i="40"/>
  <c r="C648" i="40"/>
  <c r="C649" i="40"/>
  <c r="C650" i="40"/>
  <c r="C651" i="40"/>
  <c r="C652" i="40"/>
  <c r="C653" i="40"/>
  <c r="C654" i="40"/>
  <c r="C655" i="40"/>
  <c r="C656" i="40"/>
  <c r="C657" i="40"/>
  <c r="C658" i="40"/>
  <c r="C659" i="40"/>
  <c r="C660" i="40"/>
  <c r="C661" i="40"/>
  <c r="C662" i="40"/>
  <c r="C663" i="40"/>
  <c r="C664" i="40"/>
  <c r="C665" i="40"/>
  <c r="C666" i="40"/>
  <c r="C667" i="40"/>
  <c r="C668" i="40"/>
  <c r="C669" i="40"/>
  <c r="C670" i="40"/>
  <c r="C671" i="40"/>
  <c r="C672" i="40"/>
  <c r="C673" i="40"/>
  <c r="C674" i="40"/>
  <c r="C675" i="40"/>
  <c r="C676" i="40"/>
  <c r="C677" i="40"/>
  <c r="C678" i="40"/>
  <c r="C679" i="40"/>
  <c r="C680" i="40"/>
  <c r="C681" i="40"/>
  <c r="C682" i="40"/>
  <c r="C683" i="40"/>
  <c r="C684" i="40"/>
  <c r="C685" i="40"/>
  <c r="C686" i="40"/>
  <c r="C687" i="40"/>
  <c r="G7" i="16"/>
  <c r="H7" i="16"/>
  <c r="H19" i="16" s="1"/>
  <c r="I7" i="16"/>
  <c r="J7" i="16"/>
  <c r="K7" i="16"/>
  <c r="K19" i="16" s="1"/>
  <c r="L7" i="16"/>
  <c r="M7" i="16"/>
  <c r="M10" i="16" s="1"/>
  <c r="N7" i="16"/>
  <c r="O7" i="16"/>
  <c r="G8" i="16"/>
  <c r="G10" i="16" s="1"/>
  <c r="H8" i="16"/>
  <c r="I8" i="16"/>
  <c r="J8" i="16"/>
  <c r="J10" i="16" s="1"/>
  <c r="K8" i="16"/>
  <c r="K20" i="16" s="1"/>
  <c r="L8" i="16"/>
  <c r="M8" i="16"/>
  <c r="M20" i="16" s="1"/>
  <c r="N8" i="16"/>
  <c r="O8" i="16"/>
  <c r="O10" i="16" s="1"/>
  <c r="G9" i="16"/>
  <c r="H9" i="16"/>
  <c r="I9" i="16"/>
  <c r="J9" i="16"/>
  <c r="K9" i="16"/>
  <c r="L9" i="16"/>
  <c r="L21" i="16" s="1"/>
  <c r="M9" i="16"/>
  <c r="N9" i="16"/>
  <c r="O9" i="16"/>
  <c r="D10" i="16"/>
  <c r="E10" i="16"/>
  <c r="I10" i="16"/>
  <c r="K10" i="16"/>
  <c r="G13" i="16"/>
  <c r="H13" i="16"/>
  <c r="I13" i="16"/>
  <c r="J13" i="16"/>
  <c r="J25" i="16" s="1"/>
  <c r="K13" i="16"/>
  <c r="L13" i="16"/>
  <c r="M13" i="16"/>
  <c r="M19" i="16" s="1"/>
  <c r="N13" i="16"/>
  <c r="N16" i="16" s="1"/>
  <c r="O13" i="16"/>
  <c r="G14" i="16"/>
  <c r="H14" i="16"/>
  <c r="I14" i="16"/>
  <c r="I16" i="16" s="1"/>
  <c r="J14" i="16"/>
  <c r="K14" i="16"/>
  <c r="L14" i="16"/>
  <c r="L16" i="16" s="1"/>
  <c r="M14" i="16"/>
  <c r="N14" i="16"/>
  <c r="O14" i="16"/>
  <c r="G15" i="16"/>
  <c r="H15" i="16"/>
  <c r="H21" i="16" s="1"/>
  <c r="I15" i="16"/>
  <c r="J15" i="16"/>
  <c r="K15" i="16"/>
  <c r="K16" i="16" s="1"/>
  <c r="L15" i="16"/>
  <c r="M15" i="16"/>
  <c r="N15" i="16"/>
  <c r="O15" i="16"/>
  <c r="J16" i="16"/>
  <c r="M16" i="16"/>
  <c r="C19" i="16"/>
  <c r="D19" i="16"/>
  <c r="G19" i="16"/>
  <c r="G22" i="16" s="1"/>
  <c r="I19" i="16"/>
  <c r="J19" i="16"/>
  <c r="L19" i="16"/>
  <c r="O19" i="16"/>
  <c r="C20" i="16"/>
  <c r="D20" i="16"/>
  <c r="G20" i="16"/>
  <c r="H34" i="16" s="1"/>
  <c r="H171" i="16" s="1"/>
  <c r="H20" i="16"/>
  <c r="I20" i="16"/>
  <c r="I22" i="16" s="1"/>
  <c r="L20" i="16"/>
  <c r="N20" i="16"/>
  <c r="O20" i="16"/>
  <c r="C21" i="16"/>
  <c r="D21" i="16"/>
  <c r="G21" i="16"/>
  <c r="I21" i="16"/>
  <c r="J28" i="16" s="1"/>
  <c r="J151" i="16" s="1"/>
  <c r="J21" i="16"/>
  <c r="M21" i="16"/>
  <c r="O21" i="16"/>
  <c r="I31" i="16"/>
  <c r="I33" i="16"/>
  <c r="J34" i="16"/>
  <c r="C39" i="16"/>
  <c r="C61" i="16" s="1"/>
  <c r="G39" i="16"/>
  <c r="H39" i="16"/>
  <c r="I39" i="16"/>
  <c r="J39" i="16"/>
  <c r="K39" i="16"/>
  <c r="L39" i="16"/>
  <c r="M39" i="16"/>
  <c r="N39" i="16"/>
  <c r="O39" i="16"/>
  <c r="C40" i="16"/>
  <c r="G40" i="16"/>
  <c r="H40" i="16"/>
  <c r="I40" i="16"/>
  <c r="J40" i="16"/>
  <c r="J47" i="16" s="1"/>
  <c r="K40" i="16"/>
  <c r="L40" i="16"/>
  <c r="L47" i="16" s="1"/>
  <c r="M40" i="16"/>
  <c r="N40" i="16"/>
  <c r="O40" i="16"/>
  <c r="C41" i="16"/>
  <c r="G41" i="16"/>
  <c r="H41" i="16"/>
  <c r="I41" i="16"/>
  <c r="J41" i="16"/>
  <c r="K41" i="16"/>
  <c r="L41" i="16"/>
  <c r="M41" i="16"/>
  <c r="N41" i="16"/>
  <c r="O41" i="16"/>
  <c r="C42" i="16"/>
  <c r="G42" i="16"/>
  <c r="H42" i="16"/>
  <c r="H47" i="16" s="1"/>
  <c r="I42" i="16"/>
  <c r="J42" i="16"/>
  <c r="K42" i="16"/>
  <c r="L42" i="16"/>
  <c r="M42" i="16"/>
  <c r="N42" i="16"/>
  <c r="O42" i="16"/>
  <c r="C43" i="16"/>
  <c r="G43" i="16"/>
  <c r="H43" i="16"/>
  <c r="I43" i="16"/>
  <c r="J43" i="16"/>
  <c r="K43" i="16"/>
  <c r="L43" i="16"/>
  <c r="M43" i="16"/>
  <c r="N43" i="16"/>
  <c r="O43" i="16"/>
  <c r="C44" i="16"/>
  <c r="G44" i="16"/>
  <c r="H44" i="16"/>
  <c r="I44" i="16"/>
  <c r="J44" i="16"/>
  <c r="K44" i="16"/>
  <c r="L44" i="16"/>
  <c r="M44" i="16"/>
  <c r="N44" i="16"/>
  <c r="O44" i="16"/>
  <c r="C45" i="16"/>
  <c r="G45" i="16"/>
  <c r="H45" i="16"/>
  <c r="I45" i="16"/>
  <c r="J45" i="16"/>
  <c r="K45" i="16"/>
  <c r="L45" i="16"/>
  <c r="M45" i="16"/>
  <c r="N45" i="16"/>
  <c r="O45" i="16"/>
  <c r="C46" i="16"/>
  <c r="G46" i="16"/>
  <c r="H46" i="16"/>
  <c r="I46" i="16"/>
  <c r="J46" i="16"/>
  <c r="K46" i="16"/>
  <c r="L46" i="16"/>
  <c r="M46" i="16"/>
  <c r="N46" i="16"/>
  <c r="O46" i="16"/>
  <c r="C47" i="16"/>
  <c r="N47" i="16"/>
  <c r="C50" i="16"/>
  <c r="C62" i="16"/>
  <c r="C51" i="16" s="1"/>
  <c r="C63" i="16"/>
  <c r="C52" i="16"/>
  <c r="C64" i="16"/>
  <c r="C53" i="16" s="1"/>
  <c r="C65" i="16"/>
  <c r="C54" i="16"/>
  <c r="C66" i="16"/>
  <c r="C55" i="16" s="1"/>
  <c r="C67" i="16"/>
  <c r="C56" i="16"/>
  <c r="C68" i="16"/>
  <c r="C57" i="16" s="1"/>
  <c r="C69" i="16"/>
  <c r="C58" i="16"/>
  <c r="I157" i="16"/>
  <c r="I167" i="16"/>
  <c r="J171" i="16"/>
  <c r="G7" i="37"/>
  <c r="H7" i="37"/>
  <c r="J7" i="37"/>
  <c r="L7" i="37"/>
  <c r="M7" i="37"/>
  <c r="N7" i="37"/>
  <c r="O7" i="37"/>
  <c r="G8" i="37"/>
  <c r="I8" i="37"/>
  <c r="K8" i="37"/>
  <c r="L8" i="37"/>
  <c r="M8" i="37"/>
  <c r="N8" i="37"/>
  <c r="O8" i="37"/>
  <c r="H9" i="37"/>
  <c r="I9" i="37"/>
  <c r="J9" i="37"/>
  <c r="K9" i="37"/>
  <c r="L9" i="37"/>
  <c r="M9" i="37"/>
  <c r="N9" i="37"/>
  <c r="G10" i="37"/>
  <c r="H10" i="37"/>
  <c r="I10" i="37"/>
  <c r="J10" i="37"/>
  <c r="K10" i="37"/>
  <c r="L10" i="37"/>
  <c r="M10" i="37"/>
  <c r="N10" i="37"/>
  <c r="O10" i="37"/>
  <c r="G11" i="37"/>
  <c r="H11" i="37"/>
  <c r="I11" i="37"/>
  <c r="J11" i="37"/>
  <c r="K11" i="37"/>
  <c r="L11" i="37"/>
  <c r="M11" i="37"/>
  <c r="N11" i="37"/>
  <c r="O11" i="37"/>
  <c r="G12" i="37"/>
  <c r="H12" i="37"/>
  <c r="I12" i="37"/>
  <c r="J12" i="37"/>
  <c r="K12" i="37"/>
  <c r="L12" i="37"/>
  <c r="M12" i="37"/>
  <c r="N12" i="37"/>
  <c r="O12" i="37"/>
  <c r="G13" i="37"/>
  <c r="H13" i="37"/>
  <c r="I13" i="37"/>
  <c r="J13" i="37"/>
  <c r="K13" i="37"/>
  <c r="L13" i="37"/>
  <c r="M13" i="37"/>
  <c r="N13" i="37"/>
  <c r="O13" i="37"/>
  <c r="G14" i="37"/>
  <c r="H14" i="37"/>
  <c r="I14" i="37"/>
  <c r="J14" i="37"/>
  <c r="K14" i="37"/>
  <c r="M14" i="37"/>
  <c r="N14" i="37"/>
  <c r="O14" i="37"/>
  <c r="G15" i="37"/>
  <c r="H15" i="37"/>
  <c r="I15" i="37"/>
  <c r="J15" i="37"/>
  <c r="K15" i="37"/>
  <c r="L15" i="37"/>
  <c r="M15" i="37"/>
  <c r="N15" i="37"/>
  <c r="O15" i="37"/>
  <c r="G16" i="37"/>
  <c r="H16" i="37"/>
  <c r="I16" i="37"/>
  <c r="J16" i="37"/>
  <c r="K16" i="37"/>
  <c r="L16" i="37"/>
  <c r="M16" i="37"/>
  <c r="N16" i="37"/>
  <c r="O16" i="37"/>
  <c r="G17" i="37"/>
  <c r="H17" i="37"/>
  <c r="I17" i="37"/>
  <c r="J17" i="37"/>
  <c r="K17" i="37"/>
  <c r="L17" i="37"/>
  <c r="M17" i="37"/>
  <c r="N17" i="37"/>
  <c r="O17" i="37"/>
  <c r="G18" i="37"/>
  <c r="H18" i="37"/>
  <c r="I18" i="37"/>
  <c r="J18" i="37"/>
  <c r="K18" i="37"/>
  <c r="L18" i="37"/>
  <c r="M18" i="37"/>
  <c r="N18" i="37"/>
  <c r="O18" i="37"/>
  <c r="G19" i="37"/>
  <c r="H19" i="37"/>
  <c r="I19" i="37"/>
  <c r="J19" i="37"/>
  <c r="K19" i="37"/>
  <c r="L19" i="37"/>
  <c r="M19" i="37"/>
  <c r="N19" i="37"/>
  <c r="O19" i="37"/>
  <c r="G20" i="37"/>
  <c r="H20" i="37"/>
  <c r="I20" i="37"/>
  <c r="J20" i="37"/>
  <c r="K20" i="37"/>
  <c r="L20" i="37"/>
  <c r="M20" i="37"/>
  <c r="N20" i="37"/>
  <c r="O20" i="37"/>
  <c r="G22" i="37"/>
  <c r="H22" i="37"/>
  <c r="I22" i="37"/>
  <c r="J22" i="37"/>
  <c r="K22" i="37"/>
  <c r="L22" i="37"/>
  <c r="M22" i="37"/>
  <c r="N22" i="37"/>
  <c r="O22" i="37"/>
  <c r="G23" i="37"/>
  <c r="H23" i="37"/>
  <c r="I23" i="37"/>
  <c r="J23" i="37"/>
  <c r="K23" i="37"/>
  <c r="L23" i="37"/>
  <c r="M23" i="37"/>
  <c r="N23" i="37"/>
  <c r="O23" i="37"/>
  <c r="G24" i="37"/>
  <c r="H24" i="37"/>
  <c r="I24" i="37"/>
  <c r="J24" i="37"/>
  <c r="K24" i="37"/>
  <c r="L24" i="37"/>
  <c r="M24" i="37"/>
  <c r="N24" i="37"/>
  <c r="O24" i="37"/>
  <c r="G25" i="37"/>
  <c r="H25" i="37"/>
  <c r="I25" i="37"/>
  <c r="J25" i="37"/>
  <c r="K25" i="37"/>
  <c r="L25" i="37"/>
  <c r="M25" i="37"/>
  <c r="N25" i="37"/>
  <c r="O25" i="37"/>
  <c r="G26" i="37"/>
  <c r="H26" i="37"/>
  <c r="I26" i="37"/>
  <c r="J26" i="37"/>
  <c r="K26" i="37"/>
  <c r="L26" i="37"/>
  <c r="M26" i="37"/>
  <c r="N26" i="37"/>
  <c r="O26" i="37"/>
  <c r="G27" i="37"/>
  <c r="H27" i="37"/>
  <c r="J27" i="37"/>
  <c r="K27" i="37"/>
  <c r="L27" i="37"/>
  <c r="M27" i="37"/>
  <c r="N27" i="37"/>
  <c r="O27" i="37"/>
  <c r="G28" i="37"/>
  <c r="H28" i="37"/>
  <c r="J28" i="37"/>
  <c r="K28" i="37"/>
  <c r="L28" i="37"/>
  <c r="M28" i="37"/>
  <c r="N28" i="37"/>
  <c r="O28" i="37"/>
  <c r="G29" i="37"/>
  <c r="H29" i="37"/>
  <c r="I29" i="37"/>
  <c r="J29" i="37"/>
  <c r="K29" i="37"/>
  <c r="L29" i="37"/>
  <c r="M29" i="37"/>
  <c r="N29" i="37"/>
  <c r="O29" i="37"/>
  <c r="G30" i="37"/>
  <c r="H30" i="37"/>
  <c r="I30" i="37"/>
  <c r="J30" i="37"/>
  <c r="K30" i="37"/>
  <c r="L30" i="37"/>
  <c r="M30" i="37"/>
  <c r="N30" i="37"/>
  <c r="O30" i="37"/>
  <c r="G31" i="37"/>
  <c r="H31" i="37"/>
  <c r="I31" i="37"/>
  <c r="J31" i="37"/>
  <c r="K31" i="37"/>
  <c r="L31" i="37"/>
  <c r="M31" i="37"/>
  <c r="N31" i="37"/>
  <c r="O31" i="37"/>
  <c r="G32" i="37"/>
  <c r="H32" i="37"/>
  <c r="I32" i="37"/>
  <c r="J32" i="37"/>
  <c r="K32" i="37"/>
  <c r="L32" i="37"/>
  <c r="M32" i="37"/>
  <c r="N32" i="37"/>
  <c r="O32" i="37"/>
  <c r="G33" i="37"/>
  <c r="H33" i="37"/>
  <c r="I33" i="37"/>
  <c r="J33" i="37"/>
  <c r="K33" i="37"/>
  <c r="L33" i="37"/>
  <c r="M33" i="37"/>
  <c r="N33" i="37"/>
  <c r="O33" i="37"/>
  <c r="G34" i="37"/>
  <c r="H34" i="37"/>
  <c r="I34" i="37"/>
  <c r="K34" i="37"/>
  <c r="L34" i="37"/>
  <c r="M34" i="37"/>
  <c r="N34" i="37"/>
  <c r="O34" i="37"/>
  <c r="G35" i="37"/>
  <c r="H35" i="37"/>
  <c r="I35" i="37"/>
  <c r="K35" i="37"/>
  <c r="L35" i="37"/>
  <c r="M35" i="37"/>
  <c r="N35" i="37"/>
  <c r="O35" i="37"/>
  <c r="G36" i="37"/>
  <c r="H36" i="37"/>
  <c r="I36" i="37"/>
  <c r="J36" i="37"/>
  <c r="K36" i="37"/>
  <c r="L36" i="37"/>
  <c r="M36" i="37"/>
  <c r="N36" i="37"/>
  <c r="O36" i="37"/>
  <c r="G42" i="37"/>
  <c r="G43" i="37"/>
  <c r="G47" i="37"/>
  <c r="G44" i="37"/>
  <c r="H42" i="37"/>
  <c r="H43" i="37"/>
  <c r="H47" i="37"/>
  <c r="H44" i="37"/>
  <c r="I42" i="37"/>
  <c r="I44" i="37" s="1"/>
  <c r="I43" i="37"/>
  <c r="I47" i="37"/>
  <c r="J42" i="37"/>
  <c r="J43" i="37"/>
  <c r="J47" i="37"/>
  <c r="J44" i="37"/>
  <c r="K42" i="37"/>
  <c r="K44" i="37" s="1"/>
  <c r="K43" i="37"/>
  <c r="K47" i="37"/>
  <c r="L42" i="37"/>
  <c r="L44" i="37" s="1"/>
  <c r="L43" i="37"/>
  <c r="L47" i="37"/>
  <c r="M42" i="37"/>
  <c r="M43" i="37"/>
  <c r="M47" i="37"/>
  <c r="M44" i="37"/>
  <c r="N42" i="37"/>
  <c r="N43" i="37"/>
  <c r="N47" i="37"/>
  <c r="N44" i="37"/>
  <c r="O42" i="37"/>
  <c r="O44" i="37" s="1"/>
  <c r="O43" i="37"/>
  <c r="O47" i="37"/>
  <c r="D52" i="37"/>
  <c r="D87" i="37" s="1"/>
  <c r="D122" i="37" s="1"/>
  <c r="D157" i="37" s="1"/>
  <c r="E52" i="37"/>
  <c r="E87" i="37" s="1"/>
  <c r="D53" i="37"/>
  <c r="E53" i="37"/>
  <c r="D54" i="37"/>
  <c r="E54" i="37"/>
  <c r="D55" i="37"/>
  <c r="D90" i="37" s="1"/>
  <c r="D125" i="37" s="1"/>
  <c r="D160" i="37" s="1"/>
  <c r="E55" i="37"/>
  <c r="D56" i="37"/>
  <c r="D91" i="37" s="1"/>
  <c r="D126" i="37" s="1"/>
  <c r="D161" i="37" s="1"/>
  <c r="E56" i="37"/>
  <c r="E91" i="37" s="1"/>
  <c r="D57" i="37"/>
  <c r="E57" i="37"/>
  <c r="D58" i="37"/>
  <c r="E58" i="37"/>
  <c r="D59" i="37"/>
  <c r="D94" i="37" s="1"/>
  <c r="D129" i="37" s="1"/>
  <c r="D164" i="37" s="1"/>
  <c r="E59" i="37"/>
  <c r="D60" i="37"/>
  <c r="D95" i="37" s="1"/>
  <c r="D130" i="37" s="1"/>
  <c r="D165" i="37" s="1"/>
  <c r="E60" i="37"/>
  <c r="E95" i="37" s="1"/>
  <c r="D61" i="37"/>
  <c r="E61" i="37"/>
  <c r="D62" i="37"/>
  <c r="E62" i="37"/>
  <c r="D63" i="37"/>
  <c r="D98" i="37" s="1"/>
  <c r="D133" i="37" s="1"/>
  <c r="D168" i="37" s="1"/>
  <c r="E63" i="37"/>
  <c r="D64" i="37"/>
  <c r="D99" i="37" s="1"/>
  <c r="D134" i="37" s="1"/>
  <c r="D169" i="37" s="1"/>
  <c r="E64" i="37"/>
  <c r="E99" i="37" s="1"/>
  <c r="D65" i="37"/>
  <c r="E65" i="37"/>
  <c r="D67" i="37"/>
  <c r="E67" i="37"/>
  <c r="D68" i="37"/>
  <c r="D103" i="37" s="1"/>
  <c r="D138" i="37" s="1"/>
  <c r="D173" i="37" s="1"/>
  <c r="E68" i="37"/>
  <c r="D69" i="37"/>
  <c r="D104" i="37" s="1"/>
  <c r="D139" i="37" s="1"/>
  <c r="D174" i="37" s="1"/>
  <c r="E69" i="37"/>
  <c r="E104" i="37" s="1"/>
  <c r="D70" i="37"/>
  <c r="E70" i="37"/>
  <c r="D71" i="37"/>
  <c r="E71" i="37"/>
  <c r="D72" i="37"/>
  <c r="D107" i="37" s="1"/>
  <c r="D142" i="37" s="1"/>
  <c r="D177" i="37" s="1"/>
  <c r="E72" i="37"/>
  <c r="D73" i="37"/>
  <c r="D108" i="37" s="1"/>
  <c r="D143" i="37" s="1"/>
  <c r="D178" i="37" s="1"/>
  <c r="E73" i="37"/>
  <c r="E108" i="37" s="1"/>
  <c r="D74" i="37"/>
  <c r="E74" i="37"/>
  <c r="D75" i="37"/>
  <c r="E75" i="37"/>
  <c r="D76" i="37"/>
  <c r="D111" i="37" s="1"/>
  <c r="D146" i="37" s="1"/>
  <c r="D181" i="37" s="1"/>
  <c r="E76" i="37"/>
  <c r="D77" i="37"/>
  <c r="D112" i="37" s="1"/>
  <c r="D147" i="37" s="1"/>
  <c r="D182" i="37" s="1"/>
  <c r="E77" i="37"/>
  <c r="E112" i="37" s="1"/>
  <c r="D78" i="37"/>
  <c r="E78" i="37"/>
  <c r="D79" i="37"/>
  <c r="E79" i="37"/>
  <c r="D80" i="37"/>
  <c r="D115" i="37" s="1"/>
  <c r="D150" i="37" s="1"/>
  <c r="D185" i="37" s="1"/>
  <c r="E80" i="37"/>
  <c r="D81" i="37"/>
  <c r="D116" i="37" s="1"/>
  <c r="D151" i="37" s="1"/>
  <c r="E81" i="37"/>
  <c r="E116" i="37" s="1"/>
  <c r="D82" i="37"/>
  <c r="D88" i="37"/>
  <c r="E88" i="37"/>
  <c r="D89" i="37"/>
  <c r="D124" i="37" s="1"/>
  <c r="D159" i="37" s="1"/>
  <c r="E89" i="37"/>
  <c r="E90" i="37"/>
  <c r="D92" i="37"/>
  <c r="E92" i="37"/>
  <c r="D93" i="37"/>
  <c r="D128" i="37" s="1"/>
  <c r="D163" i="37" s="1"/>
  <c r="E93" i="37"/>
  <c r="E94" i="37"/>
  <c r="D96" i="37"/>
  <c r="E96" i="37"/>
  <c r="D97" i="37"/>
  <c r="D132" i="37" s="1"/>
  <c r="E97" i="37"/>
  <c r="E98" i="37"/>
  <c r="D100" i="37"/>
  <c r="E100" i="37"/>
  <c r="D102" i="37"/>
  <c r="D137" i="37" s="1"/>
  <c r="E102" i="37"/>
  <c r="E103" i="37"/>
  <c r="D105" i="37"/>
  <c r="E105" i="37"/>
  <c r="D106" i="37"/>
  <c r="D141" i="37" s="1"/>
  <c r="D176" i="37" s="1"/>
  <c r="E106" i="37"/>
  <c r="E107" i="37"/>
  <c r="D109" i="37"/>
  <c r="E109" i="37"/>
  <c r="D110" i="37"/>
  <c r="D145" i="37" s="1"/>
  <c r="E110" i="37"/>
  <c r="E111" i="37"/>
  <c r="D113" i="37"/>
  <c r="E113" i="37"/>
  <c r="D114" i="37"/>
  <c r="D149" i="37" s="1"/>
  <c r="E114" i="37"/>
  <c r="E115" i="37"/>
  <c r="D117" i="37"/>
  <c r="D152" i="37" s="1"/>
  <c r="G122" i="37"/>
  <c r="H122" i="37"/>
  <c r="I122" i="37"/>
  <c r="K122" i="37"/>
  <c r="M122" i="37"/>
  <c r="N122" i="37"/>
  <c r="O122" i="37"/>
  <c r="D123" i="37"/>
  <c r="G123" i="37"/>
  <c r="H123" i="37"/>
  <c r="J123" i="37"/>
  <c r="L123" i="37"/>
  <c r="M123" i="37"/>
  <c r="N123" i="37"/>
  <c r="O123" i="37"/>
  <c r="G124" i="37"/>
  <c r="H124" i="37"/>
  <c r="I124" i="37"/>
  <c r="J124" i="37"/>
  <c r="K124" i="37"/>
  <c r="L124" i="37"/>
  <c r="M124" i="37"/>
  <c r="N124" i="37"/>
  <c r="O124" i="37"/>
  <c r="G125" i="37"/>
  <c r="H125" i="37"/>
  <c r="I125" i="37"/>
  <c r="J125" i="37"/>
  <c r="K125" i="37"/>
  <c r="L125" i="37"/>
  <c r="M125" i="37"/>
  <c r="N125" i="37"/>
  <c r="O125" i="37"/>
  <c r="G126" i="37"/>
  <c r="H126" i="37"/>
  <c r="I126" i="37"/>
  <c r="J126" i="37"/>
  <c r="K126" i="37"/>
  <c r="L126" i="37"/>
  <c r="M126" i="37"/>
  <c r="N126" i="37"/>
  <c r="O126" i="37"/>
  <c r="D127" i="37"/>
  <c r="G127" i="37"/>
  <c r="H127" i="37"/>
  <c r="I127" i="37"/>
  <c r="J127" i="37"/>
  <c r="K127" i="37"/>
  <c r="L127" i="37"/>
  <c r="M127" i="37"/>
  <c r="N127" i="37"/>
  <c r="O127" i="37"/>
  <c r="G128" i="37"/>
  <c r="H128" i="37"/>
  <c r="I128" i="37"/>
  <c r="J128" i="37"/>
  <c r="K128" i="37"/>
  <c r="L128" i="37"/>
  <c r="M128" i="37"/>
  <c r="O128" i="37"/>
  <c r="G129" i="37"/>
  <c r="H129" i="37"/>
  <c r="I129" i="37"/>
  <c r="J129" i="37"/>
  <c r="K129" i="37"/>
  <c r="L129" i="37"/>
  <c r="M129" i="37"/>
  <c r="N129" i="37"/>
  <c r="O129" i="37"/>
  <c r="G130" i="37"/>
  <c r="H130" i="37"/>
  <c r="I130" i="37"/>
  <c r="J130" i="37"/>
  <c r="K130" i="37"/>
  <c r="L130" i="37"/>
  <c r="M130" i="37"/>
  <c r="N130" i="37"/>
  <c r="O130" i="37"/>
  <c r="D131" i="37"/>
  <c r="G131" i="37"/>
  <c r="H131" i="37"/>
  <c r="I131" i="37"/>
  <c r="J131" i="37"/>
  <c r="K131" i="37"/>
  <c r="L131" i="37"/>
  <c r="M131" i="37"/>
  <c r="N131" i="37"/>
  <c r="O131" i="37"/>
  <c r="G132" i="37"/>
  <c r="H132" i="37"/>
  <c r="I132" i="37"/>
  <c r="J132" i="37"/>
  <c r="K132" i="37"/>
  <c r="L132" i="37"/>
  <c r="M132" i="37"/>
  <c r="N132" i="37"/>
  <c r="O132" i="37"/>
  <c r="G133" i="37"/>
  <c r="H133" i="37"/>
  <c r="I133" i="37"/>
  <c r="J133" i="37"/>
  <c r="K133" i="37"/>
  <c r="L133" i="37"/>
  <c r="M133" i="37"/>
  <c r="N133" i="37"/>
  <c r="O133" i="37"/>
  <c r="G134" i="37"/>
  <c r="H134" i="37"/>
  <c r="I134" i="37"/>
  <c r="J134" i="37"/>
  <c r="K134" i="37"/>
  <c r="L134" i="37"/>
  <c r="M134" i="37"/>
  <c r="N134" i="37"/>
  <c r="O134" i="37"/>
  <c r="D135" i="37"/>
  <c r="G135" i="37"/>
  <c r="H135" i="37"/>
  <c r="I135" i="37"/>
  <c r="J135" i="37"/>
  <c r="K135" i="37"/>
  <c r="L135" i="37"/>
  <c r="M135" i="37"/>
  <c r="N135" i="37"/>
  <c r="O135" i="37"/>
  <c r="G137" i="37"/>
  <c r="H137" i="37"/>
  <c r="I137" i="37"/>
  <c r="J137" i="37"/>
  <c r="K137" i="37"/>
  <c r="L137" i="37"/>
  <c r="M137" i="37"/>
  <c r="N137" i="37"/>
  <c r="O137" i="37"/>
  <c r="G138" i="37"/>
  <c r="H138" i="37"/>
  <c r="I138" i="37"/>
  <c r="J138" i="37"/>
  <c r="K138" i="37"/>
  <c r="L138" i="37"/>
  <c r="M138" i="37"/>
  <c r="N138" i="37"/>
  <c r="O138" i="37"/>
  <c r="G139" i="37"/>
  <c r="H139" i="37"/>
  <c r="I139" i="37"/>
  <c r="J139" i="37"/>
  <c r="K139" i="37"/>
  <c r="L139" i="37"/>
  <c r="M139" i="37"/>
  <c r="N139" i="37"/>
  <c r="O139" i="37"/>
  <c r="D140" i="37"/>
  <c r="G140" i="37"/>
  <c r="H140" i="37"/>
  <c r="I140" i="37"/>
  <c r="J140" i="37"/>
  <c r="K140" i="37"/>
  <c r="L140" i="37"/>
  <c r="M140" i="37"/>
  <c r="N140" i="37"/>
  <c r="O140" i="37"/>
  <c r="G141" i="37"/>
  <c r="H141" i="37"/>
  <c r="I141" i="37"/>
  <c r="J141" i="37"/>
  <c r="K141" i="37"/>
  <c r="L141" i="37"/>
  <c r="M141" i="37"/>
  <c r="N141" i="37"/>
  <c r="O141" i="37"/>
  <c r="G142" i="37"/>
  <c r="H142" i="37"/>
  <c r="J142" i="37"/>
  <c r="K142" i="37"/>
  <c r="L142" i="37"/>
  <c r="M142" i="37"/>
  <c r="N142" i="37"/>
  <c r="O142" i="37"/>
  <c r="G143" i="37"/>
  <c r="H143" i="37"/>
  <c r="J143" i="37"/>
  <c r="K143" i="37"/>
  <c r="L143" i="37"/>
  <c r="M143" i="37"/>
  <c r="N143" i="37"/>
  <c r="O143" i="37"/>
  <c r="D144" i="37"/>
  <c r="G144" i="37"/>
  <c r="H144" i="37"/>
  <c r="I144" i="37"/>
  <c r="J144" i="37"/>
  <c r="K144" i="37"/>
  <c r="L144" i="37"/>
  <c r="M144" i="37"/>
  <c r="N144" i="37"/>
  <c r="O144" i="37"/>
  <c r="G145" i="37"/>
  <c r="H145" i="37"/>
  <c r="I145" i="37"/>
  <c r="J145" i="37"/>
  <c r="K145" i="37"/>
  <c r="L145" i="37"/>
  <c r="M145" i="37"/>
  <c r="N145" i="37"/>
  <c r="O145" i="37"/>
  <c r="G146" i="37"/>
  <c r="H146" i="37"/>
  <c r="I146" i="37"/>
  <c r="J146" i="37"/>
  <c r="K146" i="37"/>
  <c r="L146" i="37"/>
  <c r="M146" i="37"/>
  <c r="N146" i="37"/>
  <c r="O146" i="37"/>
  <c r="G147" i="37"/>
  <c r="H147" i="37"/>
  <c r="I147" i="37"/>
  <c r="J147" i="37"/>
  <c r="K147" i="37"/>
  <c r="L147" i="37"/>
  <c r="M147" i="37"/>
  <c r="N147" i="37"/>
  <c r="O147" i="37"/>
  <c r="D148" i="37"/>
  <c r="G148" i="37"/>
  <c r="H148" i="37"/>
  <c r="I148" i="37"/>
  <c r="J148" i="37"/>
  <c r="K148" i="37"/>
  <c r="L148" i="37"/>
  <c r="M148" i="37"/>
  <c r="N148" i="37"/>
  <c r="O148" i="37"/>
  <c r="G149" i="37"/>
  <c r="H149" i="37"/>
  <c r="I149" i="37"/>
  <c r="K149" i="37"/>
  <c r="L149" i="37"/>
  <c r="M149" i="37"/>
  <c r="N149" i="37"/>
  <c r="O149" i="37"/>
  <c r="G150" i="37"/>
  <c r="H150" i="37"/>
  <c r="I150" i="37"/>
  <c r="K150" i="37"/>
  <c r="L150" i="37"/>
  <c r="M150" i="37"/>
  <c r="N150" i="37"/>
  <c r="O150" i="37"/>
  <c r="D158" i="37"/>
  <c r="D162" i="37"/>
  <c r="D166" i="37"/>
  <c r="D167" i="37"/>
  <c r="D170" i="37"/>
  <c r="D172" i="37"/>
  <c r="D175" i="37"/>
  <c r="D179" i="37"/>
  <c r="D180" i="37"/>
  <c r="D183" i="37"/>
  <c r="D184" i="37"/>
  <c r="F1" i="22"/>
  <c r="G1" i="22" s="1"/>
  <c r="H1" i="22" s="1"/>
  <c r="I1" i="22" s="1"/>
  <c r="J1" i="22"/>
  <c r="K1" i="22" s="1"/>
  <c r="L1" i="22" s="1"/>
  <c r="M1" i="22" s="1"/>
  <c r="E8" i="22"/>
  <c r="E10" i="22" s="1"/>
  <c r="E11" i="22" s="1"/>
  <c r="E38" i="22" s="1"/>
  <c r="E9" i="22"/>
  <c r="E15" i="22"/>
  <c r="E16" i="22" s="1"/>
  <c r="E32" i="22" s="1"/>
  <c r="D22" i="22"/>
  <c r="E22" i="22"/>
  <c r="E39" i="22" s="1"/>
  <c r="F22" i="22"/>
  <c r="F39" i="22" s="1"/>
  <c r="G22" i="22"/>
  <c r="H22" i="22"/>
  <c r="I22" i="22"/>
  <c r="J22" i="22"/>
  <c r="J39" i="22" s="1"/>
  <c r="K22" i="22"/>
  <c r="K39" i="22" s="1"/>
  <c r="L22" i="22"/>
  <c r="L39" i="22" s="1"/>
  <c r="M22" i="22"/>
  <c r="M39" i="22" s="1"/>
  <c r="G39" i="22"/>
  <c r="H39" i="22"/>
  <c r="I39" i="22"/>
  <c r="G18" i="10" l="1"/>
  <c r="F18" i="10"/>
  <c r="H29" i="23"/>
  <c r="L29" i="23"/>
  <c r="J177" i="40"/>
  <c r="F114" i="40"/>
  <c r="F102" i="40"/>
  <c r="H456" i="40"/>
  <c r="I417" i="40"/>
  <c r="I586" i="40" s="1"/>
  <c r="I363" i="40"/>
  <c r="I532" i="40" s="1"/>
  <c r="I455" i="40"/>
  <c r="I399" i="40"/>
  <c r="I389" i="40"/>
  <c r="F174" i="40"/>
  <c r="F168" i="40"/>
  <c r="F166" i="40"/>
  <c r="F160" i="40"/>
  <c r="F157" i="40"/>
  <c r="F152" i="40"/>
  <c r="F149" i="40"/>
  <c r="F144" i="40"/>
  <c r="F141" i="40"/>
  <c r="F136" i="40"/>
  <c r="F133" i="40"/>
  <c r="F107" i="40"/>
  <c r="F65" i="40"/>
  <c r="F31" i="40"/>
  <c r="I383" i="40"/>
  <c r="I552" i="40" s="1"/>
  <c r="H445" i="40"/>
  <c r="H614" i="40" s="1"/>
  <c r="H413" i="40"/>
  <c r="H582" i="40" s="1"/>
  <c r="H405" i="40"/>
  <c r="H574" i="40" s="1"/>
  <c r="I405" i="40" s="1"/>
  <c r="H379" i="40"/>
  <c r="H548" i="40" s="1"/>
  <c r="I379" i="40" s="1"/>
  <c r="H371" i="40"/>
  <c r="H540" i="40" s="1"/>
  <c r="I371" i="40" s="1"/>
  <c r="F129" i="40"/>
  <c r="F123" i="40"/>
  <c r="F116" i="40"/>
  <c r="F95" i="40"/>
  <c r="F89" i="40"/>
  <c r="F84" i="40"/>
  <c r="F74" i="40"/>
  <c r="F57" i="40"/>
  <c r="F50" i="40"/>
  <c r="F40" i="40"/>
  <c r="F21" i="40"/>
  <c r="F16" i="40"/>
  <c r="F43" i="40"/>
  <c r="F38" i="40"/>
  <c r="H510" i="40"/>
  <c r="H679" i="40" s="1"/>
  <c r="H502" i="40"/>
  <c r="H671" i="40" s="1"/>
  <c r="H494" i="40"/>
  <c r="H663" i="40" s="1"/>
  <c r="I494" i="40" s="1"/>
  <c r="I663" i="40" s="1"/>
  <c r="H486" i="40"/>
  <c r="H655" i="40" s="1"/>
  <c r="I486" i="40" s="1"/>
  <c r="I655" i="40" s="1"/>
  <c r="H478" i="40"/>
  <c r="H647" i="40" s="1"/>
  <c r="I478" i="40" s="1"/>
  <c r="I647" i="40" s="1"/>
  <c r="F155" i="40"/>
  <c r="F154" i="40"/>
  <c r="F147" i="40"/>
  <c r="F146" i="40"/>
  <c r="F139" i="40"/>
  <c r="F138" i="40"/>
  <c r="F131" i="40"/>
  <c r="F130" i="40"/>
  <c r="F118" i="40"/>
  <c r="F101" i="40"/>
  <c r="F98" i="40"/>
  <c r="F96" i="40"/>
  <c r="F86" i="40"/>
  <c r="F69" i="40"/>
  <c r="F64" i="40"/>
  <c r="F54" i="40"/>
  <c r="F35" i="40"/>
  <c r="F30" i="40"/>
  <c r="F18" i="40"/>
  <c r="F28" i="40"/>
  <c r="I485" i="40"/>
  <c r="I477" i="40"/>
  <c r="I646" i="40" s="1"/>
  <c r="H451" i="40"/>
  <c r="H620" i="40" s="1"/>
  <c r="I451" i="40" s="1"/>
  <c r="H411" i="40"/>
  <c r="H580" i="40" s="1"/>
  <c r="H385" i="40"/>
  <c r="H554" i="40" s="1"/>
  <c r="I385" i="40" s="1"/>
  <c r="H377" i="40"/>
  <c r="H546" i="40" s="1"/>
  <c r="I377" i="40" s="1"/>
  <c r="F172" i="40"/>
  <c r="F170" i="40"/>
  <c r="F169" i="40"/>
  <c r="F164" i="40"/>
  <c r="F162" i="40"/>
  <c r="F161" i="40"/>
  <c r="F156" i="40"/>
  <c r="F153" i="40"/>
  <c r="F148" i="40"/>
  <c r="F145" i="40"/>
  <c r="F140" i="40"/>
  <c r="F137" i="40"/>
  <c r="F132" i="40"/>
  <c r="F81" i="40"/>
  <c r="F76" i="40"/>
  <c r="F66" i="40"/>
  <c r="F42" i="40"/>
  <c r="F32" i="40"/>
  <c r="F72" i="40"/>
  <c r="H657" i="40"/>
  <c r="I488" i="40" s="1"/>
  <c r="I657" i="40" s="1"/>
  <c r="I431" i="40"/>
  <c r="F99" i="40"/>
  <c r="F61" i="40"/>
  <c r="F27" i="40"/>
  <c r="F115" i="40"/>
  <c r="F77" i="40"/>
  <c r="F62" i="40"/>
  <c r="H457" i="40"/>
  <c r="H626" i="40" s="1"/>
  <c r="F111" i="40"/>
  <c r="F105" i="40"/>
  <c r="F100" i="40"/>
  <c r="F73" i="40"/>
  <c r="F39" i="40"/>
  <c r="I504" i="40"/>
  <c r="I499" i="40"/>
  <c r="I668" i="40" s="1"/>
  <c r="J499" i="40" s="1"/>
  <c r="J668" i="40" s="1"/>
  <c r="I475" i="40"/>
  <c r="I644" i="40" s="1"/>
  <c r="J475" i="40" s="1"/>
  <c r="J644" i="40" s="1"/>
  <c r="I375" i="40"/>
  <c r="M349" i="40"/>
  <c r="I500" i="40"/>
  <c r="I669" i="40" s="1"/>
  <c r="I458" i="40"/>
  <c r="I433" i="40"/>
  <c r="I602" i="40" s="1"/>
  <c r="J433" i="40" s="1"/>
  <c r="J602" i="40" s="1"/>
  <c r="I483" i="40"/>
  <c r="I391" i="40"/>
  <c r="I560" i="40" s="1"/>
  <c r="O349" i="40"/>
  <c r="K349" i="40"/>
  <c r="F342" i="40"/>
  <c r="F334" i="40"/>
  <c r="F326" i="40"/>
  <c r="F318" i="40"/>
  <c r="F310" i="40"/>
  <c r="F302" i="40"/>
  <c r="F292" i="40"/>
  <c r="F284" i="40"/>
  <c r="I470" i="40"/>
  <c r="I639" i="40" s="1"/>
  <c r="I420" i="40"/>
  <c r="I589" i="40" s="1"/>
  <c r="I495" i="40"/>
  <c r="I664" i="40" s="1"/>
  <c r="I487" i="40"/>
  <c r="I656" i="40" s="1"/>
  <c r="J487" i="40" s="1"/>
  <c r="J656" i="40" s="1"/>
  <c r="I429" i="40"/>
  <c r="I598" i="40" s="1"/>
  <c r="J429" i="40" s="1"/>
  <c r="J598" i="40" s="1"/>
  <c r="I413" i="40"/>
  <c r="I582" i="40" s="1"/>
  <c r="I409" i="40"/>
  <c r="I578" i="40" s="1"/>
  <c r="J409" i="40" s="1"/>
  <c r="I510" i="40"/>
  <c r="I679" i="40" s="1"/>
  <c r="J510" i="40" s="1"/>
  <c r="J679" i="40" s="1"/>
  <c r="I412" i="40"/>
  <c r="I581" i="40" s="1"/>
  <c r="J412" i="40" s="1"/>
  <c r="J581" i="40" s="1"/>
  <c r="I404" i="40"/>
  <c r="I573" i="40" s="1"/>
  <c r="J404" i="40" s="1"/>
  <c r="J573" i="40" s="1"/>
  <c r="I471" i="40"/>
  <c r="I640" i="40" s="1"/>
  <c r="J471" i="40" s="1"/>
  <c r="J640" i="40" s="1"/>
  <c r="I517" i="40"/>
  <c r="I686" i="40" s="1"/>
  <c r="J517" i="40" s="1"/>
  <c r="I509" i="40"/>
  <c r="I678" i="40" s="1"/>
  <c r="I501" i="40"/>
  <c r="I670" i="40" s="1"/>
  <c r="J501" i="40" s="1"/>
  <c r="I479" i="40"/>
  <c r="I648" i="40" s="1"/>
  <c r="J479" i="40" s="1"/>
  <c r="J648" i="40" s="1"/>
  <c r="I461" i="40"/>
  <c r="I630" i="40" s="1"/>
  <c r="J461" i="40" s="1"/>
  <c r="J630" i="40" s="1"/>
  <c r="I401" i="40"/>
  <c r="I570" i="40" s="1"/>
  <c r="J401" i="40" s="1"/>
  <c r="J570" i="40" s="1"/>
  <c r="I491" i="40"/>
  <c r="I660" i="40" s="1"/>
  <c r="J491" i="40" s="1"/>
  <c r="I449" i="40"/>
  <c r="I618" i="40" s="1"/>
  <c r="J449" i="40" s="1"/>
  <c r="J618" i="40" s="1"/>
  <c r="I355" i="40"/>
  <c r="J355" i="40" s="1"/>
  <c r="H524" i="40"/>
  <c r="I513" i="40"/>
  <c r="I682" i="40" s="1"/>
  <c r="J513" i="40" s="1"/>
  <c r="F303" i="40"/>
  <c r="F261" i="40"/>
  <c r="F253" i="40"/>
  <c r="F203" i="40"/>
  <c r="F344" i="40"/>
  <c r="F336" i="40"/>
  <c r="F320" i="40"/>
  <c r="F270" i="40"/>
  <c r="F262" i="40"/>
  <c r="F254" i="40"/>
  <c r="F246" i="40"/>
  <c r="F238" i="40"/>
  <c r="F232" i="40"/>
  <c r="F194" i="40"/>
  <c r="F343" i="40"/>
  <c r="F285" i="40"/>
  <c r="F277" i="40"/>
  <c r="F237" i="40"/>
  <c r="F219" i="40"/>
  <c r="F211" i="40"/>
  <c r="F328" i="40"/>
  <c r="F312" i="40"/>
  <c r="F304" i="40"/>
  <c r="F296" i="40"/>
  <c r="F286" i="40"/>
  <c r="F278" i="40"/>
  <c r="F272" i="40"/>
  <c r="F264" i="40"/>
  <c r="F256" i="40"/>
  <c r="F248" i="40"/>
  <c r="F240" i="40"/>
  <c r="F230" i="40"/>
  <c r="F222" i="40"/>
  <c r="F220" i="40"/>
  <c r="F214" i="40"/>
  <c r="F212" i="40"/>
  <c r="F206" i="40"/>
  <c r="F204" i="40"/>
  <c r="F198" i="40"/>
  <c r="F188" i="40"/>
  <c r="F183" i="40"/>
  <c r="H435" i="40"/>
  <c r="H604" i="40" s="1"/>
  <c r="I435" i="40" s="1"/>
  <c r="H419" i="40"/>
  <c r="H588" i="40" s="1"/>
  <c r="I419" i="40" s="1"/>
  <c r="I588" i="40" s="1"/>
  <c r="I585" i="40"/>
  <c r="H359" i="40"/>
  <c r="H528" i="40" s="1"/>
  <c r="F229" i="40"/>
  <c r="F322" i="40"/>
  <c r="F288" i="40"/>
  <c r="H443" i="40"/>
  <c r="H612" i="40" s="1"/>
  <c r="I443" i="40" s="1"/>
  <c r="H427" i="40"/>
  <c r="H596" i="40" s="1"/>
  <c r="I427" i="40" s="1"/>
  <c r="H403" i="40"/>
  <c r="H572" i="40" s="1"/>
  <c r="F347" i="40"/>
  <c r="I349" i="40"/>
  <c r="F339" i="40"/>
  <c r="F331" i="40"/>
  <c r="F323" i="40"/>
  <c r="F315" i="40"/>
  <c r="F307" i="40"/>
  <c r="F299" i="40"/>
  <c r="F289" i="40"/>
  <c r="F281" i="40"/>
  <c r="F273" i="40"/>
  <c r="F265" i="40"/>
  <c r="F257" i="40"/>
  <c r="F249" i="40"/>
  <c r="F241" i="40"/>
  <c r="F233" i="40"/>
  <c r="F223" i="40"/>
  <c r="F215" i="40"/>
  <c r="F207" i="40"/>
  <c r="F199" i="40"/>
  <c r="F335" i="40"/>
  <c r="F327" i="40"/>
  <c r="F311" i="40"/>
  <c r="F330" i="40"/>
  <c r="F314" i="40"/>
  <c r="F306" i="40"/>
  <c r="I490" i="40"/>
  <c r="I659" i="40" s="1"/>
  <c r="F340" i="40"/>
  <c r="F332" i="40"/>
  <c r="F324" i="40"/>
  <c r="F316" i="40"/>
  <c r="F308" i="40"/>
  <c r="F300" i="40"/>
  <c r="F290" i="40"/>
  <c r="F282" i="40"/>
  <c r="F276" i="40"/>
  <c r="F274" i="40"/>
  <c r="F268" i="40"/>
  <c r="F266" i="40"/>
  <c r="F260" i="40"/>
  <c r="F258" i="40"/>
  <c r="F252" i="40"/>
  <c r="F250" i="40"/>
  <c r="F244" i="40"/>
  <c r="F242" i="40"/>
  <c r="F236" i="40"/>
  <c r="F234" i="40"/>
  <c r="F228" i="40"/>
  <c r="F226" i="40"/>
  <c r="F218" i="40"/>
  <c r="F216" i="40"/>
  <c r="F210" i="40"/>
  <c r="F208" i="40"/>
  <c r="F202" i="40"/>
  <c r="F200" i="40"/>
  <c r="F192" i="40"/>
  <c r="F190" i="40"/>
  <c r="F319" i="40"/>
  <c r="F295" i="40"/>
  <c r="F269" i="40"/>
  <c r="F245" i="40"/>
  <c r="F193" i="40"/>
  <c r="F346" i="40"/>
  <c r="F338" i="40"/>
  <c r="F298" i="40"/>
  <c r="F280" i="40"/>
  <c r="I514" i="40"/>
  <c r="I683" i="40" s="1"/>
  <c r="I424" i="40"/>
  <c r="I593" i="40" s="1"/>
  <c r="H369" i="40"/>
  <c r="H538" i="40" s="1"/>
  <c r="I369" i="40" s="1"/>
  <c r="I28" i="23"/>
  <c r="F9" i="30"/>
  <c r="O22" i="23"/>
  <c r="O45" i="23" s="1"/>
  <c r="L22" i="23"/>
  <c r="L45" i="23" s="1"/>
  <c r="O12" i="30"/>
  <c r="O36" i="23"/>
  <c r="K29" i="23"/>
  <c r="H22" i="23"/>
  <c r="H45" i="23" s="1"/>
  <c r="G36" i="23"/>
  <c r="G37" i="23" s="1"/>
  <c r="J29" i="23"/>
  <c r="I29" i="23"/>
  <c r="J22" i="23"/>
  <c r="J45" i="23" s="1"/>
  <c r="O29" i="23"/>
  <c r="G29" i="23"/>
  <c r="F7" i="30"/>
  <c r="E16" i="30"/>
  <c r="E8" i="30"/>
  <c r="K22" i="23"/>
  <c r="K45" i="23" s="1"/>
  <c r="G45" i="23"/>
  <c r="D15" i="30"/>
  <c r="D28" i="30" s="1"/>
  <c r="K14" i="30"/>
  <c r="C14" i="30"/>
  <c r="C27" i="30" s="1"/>
  <c r="K6" i="30"/>
  <c r="H28" i="23"/>
  <c r="J13" i="30"/>
  <c r="I31" i="23"/>
  <c r="E40" i="22"/>
  <c r="O39" i="22"/>
  <c r="M25" i="16"/>
  <c r="M26" i="16"/>
  <c r="M141" i="16" s="1"/>
  <c r="M28" i="16"/>
  <c r="M151" i="16" s="1"/>
  <c r="M34" i="16"/>
  <c r="M171" i="16" s="1"/>
  <c r="M22" i="16"/>
  <c r="M27" i="16"/>
  <c r="M31" i="16"/>
  <c r="M32" i="16"/>
  <c r="M161" i="16" s="1"/>
  <c r="M33" i="16"/>
  <c r="N34" i="16"/>
  <c r="N171" i="16" s="1"/>
  <c r="L10" i="16"/>
  <c r="K47" i="16"/>
  <c r="O47" i="16"/>
  <c r="G47" i="16"/>
  <c r="O22" i="16"/>
  <c r="J137" i="16"/>
  <c r="L22" i="16"/>
  <c r="H22" i="16"/>
  <c r="H27" i="16"/>
  <c r="H31" i="16"/>
  <c r="H32" i="16"/>
  <c r="H161" i="16" s="1"/>
  <c r="H33" i="16"/>
  <c r="I25" i="16"/>
  <c r="I34" i="16"/>
  <c r="M37" i="37"/>
  <c r="M45" i="37" s="1"/>
  <c r="N37" i="37"/>
  <c r="N45" i="37" s="1"/>
  <c r="I47" i="16"/>
  <c r="M47" i="16"/>
  <c r="J27" i="16"/>
  <c r="N21" i="16"/>
  <c r="N25" i="16"/>
  <c r="O16" i="16"/>
  <c r="G16" i="16"/>
  <c r="H26" i="16"/>
  <c r="H141" i="16" s="1"/>
  <c r="H28" i="16"/>
  <c r="H151" i="16" s="1"/>
  <c r="H16" i="16"/>
  <c r="H25" i="16"/>
  <c r="I26" i="16"/>
  <c r="I141" i="16" s="1"/>
  <c r="I27" i="16"/>
  <c r="I28" i="16"/>
  <c r="I151" i="16" s="1"/>
  <c r="I32" i="16"/>
  <c r="N19" i="16"/>
  <c r="O28" i="16" s="1"/>
  <c r="O151" i="16" s="1"/>
  <c r="N10" i="16"/>
  <c r="J26" i="16"/>
  <c r="J141" i="16" s="1"/>
  <c r="K21" i="16"/>
  <c r="L26" i="16" s="1"/>
  <c r="L141" i="16" s="1"/>
  <c r="H10" i="16"/>
  <c r="O33" i="16"/>
  <c r="O32" i="16"/>
  <c r="O161" i="16" s="1"/>
  <c r="O31" i="16"/>
  <c r="O27" i="16"/>
  <c r="N28" i="16"/>
  <c r="N151" i="16" s="1"/>
  <c r="N26" i="16"/>
  <c r="N141" i="16" s="1"/>
  <c r="J20" i="16"/>
  <c r="J22" i="16" s="1"/>
  <c r="L33" i="16"/>
  <c r="L32" i="16"/>
  <c r="L161" i="16" s="1"/>
  <c r="L31" i="16"/>
  <c r="L27" i="16"/>
  <c r="I480" i="40"/>
  <c r="I649" i="40" s="1"/>
  <c r="J518" i="40"/>
  <c r="J687" i="40" s="1"/>
  <c r="I508" i="40"/>
  <c r="I677" i="40" s="1"/>
  <c r="I512" i="40"/>
  <c r="I681" i="40" s="1"/>
  <c r="I516" i="40"/>
  <c r="I685" i="40" s="1"/>
  <c r="H676" i="40"/>
  <c r="I496" i="40"/>
  <c r="I665" i="40" s="1"/>
  <c r="I511" i="40"/>
  <c r="I680" i="40" s="1"/>
  <c r="I515" i="40"/>
  <c r="I684" i="40" s="1"/>
  <c r="I498" i="40"/>
  <c r="I667" i="40" s="1"/>
  <c r="I492" i="40"/>
  <c r="I661" i="40" s="1"/>
  <c r="I674" i="40"/>
  <c r="I472" i="40"/>
  <c r="I641" i="40" s="1"/>
  <c r="H672" i="40"/>
  <c r="I476" i="40"/>
  <c r="H638" i="40"/>
  <c r="I502" i="40"/>
  <c r="I671" i="40" s="1"/>
  <c r="I666" i="40"/>
  <c r="I484" i="40"/>
  <c r="I468" i="40"/>
  <c r="I434" i="40"/>
  <c r="H597" i="40"/>
  <c r="H592" i="40"/>
  <c r="I673" i="40"/>
  <c r="I493" i="40"/>
  <c r="I662" i="40" s="1"/>
  <c r="H609" i="40"/>
  <c r="I675" i="40"/>
  <c r="I430" i="40"/>
  <c r="I599" i="40" s="1"/>
  <c r="I652" i="40"/>
  <c r="I445" i="40"/>
  <c r="I614" i="40" s="1"/>
  <c r="I450" i="40"/>
  <c r="I619" i="40" s="1"/>
  <c r="H635" i="40"/>
  <c r="I627" i="40"/>
  <c r="I624" i="40"/>
  <c r="I608" i="40"/>
  <c r="I600" i="40"/>
  <c r="I651" i="40"/>
  <c r="I643" i="40"/>
  <c r="I454" i="40"/>
  <c r="I623" i="40" s="1"/>
  <c r="I622" i="40"/>
  <c r="H613" i="40"/>
  <c r="I438" i="40"/>
  <c r="I607" i="40" s="1"/>
  <c r="I606" i="40"/>
  <c r="H601" i="40"/>
  <c r="H533" i="40"/>
  <c r="H636" i="40"/>
  <c r="H631" i="40"/>
  <c r="I612" i="40"/>
  <c r="I590" i="40"/>
  <c r="I408" i="40"/>
  <c r="I577" i="40" s="1"/>
  <c r="I658" i="40"/>
  <c r="I654" i="40"/>
  <c r="I650" i="40"/>
  <c r="I642" i="40"/>
  <c r="H628" i="40"/>
  <c r="H617" i="40"/>
  <c r="I442" i="40"/>
  <c r="I611" i="40" s="1"/>
  <c r="I610" i="40"/>
  <c r="I425" i="40"/>
  <c r="I594" i="40" s="1"/>
  <c r="H625" i="40"/>
  <c r="I616" i="40"/>
  <c r="I415" i="40"/>
  <c r="I584" i="40" s="1"/>
  <c r="H632" i="40"/>
  <c r="H621" i="40"/>
  <c r="I446" i="40"/>
  <c r="I615" i="40" s="1"/>
  <c r="H605" i="40"/>
  <c r="I407" i="40"/>
  <c r="I576" i="40" s="1"/>
  <c r="L349" i="40"/>
  <c r="H629" i="40"/>
  <c r="I620" i="40"/>
  <c r="I596" i="40"/>
  <c r="I354" i="40"/>
  <c r="J354" i="40" s="1"/>
  <c r="K354" i="40" s="1"/>
  <c r="L354" i="40" s="1"/>
  <c r="M354" i="40" s="1"/>
  <c r="N354" i="40" s="1"/>
  <c r="O354" i="40" s="1"/>
  <c r="P354" i="40" s="1"/>
  <c r="I568" i="40"/>
  <c r="I562" i="40"/>
  <c r="I554" i="40"/>
  <c r="I546" i="40"/>
  <c r="F345" i="40"/>
  <c r="F337" i="40"/>
  <c r="F329" i="40"/>
  <c r="F321" i="40"/>
  <c r="F313" i="40"/>
  <c r="F305" i="40"/>
  <c r="F297" i="40"/>
  <c r="F287" i="40"/>
  <c r="F279" i="40"/>
  <c r="F271" i="40"/>
  <c r="F263" i="40"/>
  <c r="H426" i="40"/>
  <c r="F255" i="40"/>
  <c r="H418" i="40"/>
  <c r="F247" i="40"/>
  <c r="H410" i="40"/>
  <c r="F239" i="40"/>
  <c r="H402" i="40"/>
  <c r="F231" i="40"/>
  <c r="H392" i="40"/>
  <c r="F221" i="40"/>
  <c r="H384" i="40"/>
  <c r="F213" i="40"/>
  <c r="H376" i="40"/>
  <c r="F205" i="40"/>
  <c r="H368" i="40"/>
  <c r="F197" i="40"/>
  <c r="P349" i="40"/>
  <c r="H358" i="40"/>
  <c r="H349" i="40"/>
  <c r="F187" i="40"/>
  <c r="F171" i="40"/>
  <c r="F163" i="40"/>
  <c r="I566" i="40"/>
  <c r="H559" i="40"/>
  <c r="I556" i="40"/>
  <c r="H551" i="40"/>
  <c r="H543" i="40"/>
  <c r="N349" i="40"/>
  <c r="I400" i="40"/>
  <c r="F189" i="40"/>
  <c r="F173" i="40"/>
  <c r="F165" i="40"/>
  <c r="I558" i="40"/>
  <c r="I550" i="40"/>
  <c r="I542" i="40"/>
  <c r="F341" i="40"/>
  <c r="F333" i="40"/>
  <c r="F325" i="40"/>
  <c r="F317" i="40"/>
  <c r="F309" i="40"/>
  <c r="F301" i="40"/>
  <c r="F291" i="40"/>
  <c r="F283" i="40"/>
  <c r="F275" i="40"/>
  <c r="F267" i="40"/>
  <c r="F259" i="40"/>
  <c r="H422" i="40"/>
  <c r="F251" i="40"/>
  <c r="H414" i="40"/>
  <c r="F243" i="40"/>
  <c r="H406" i="40"/>
  <c r="F235" i="40"/>
  <c r="H398" i="40"/>
  <c r="F227" i="40"/>
  <c r="H388" i="40"/>
  <c r="F217" i="40"/>
  <c r="H380" i="40"/>
  <c r="F209" i="40"/>
  <c r="H372" i="40"/>
  <c r="F201" i="40"/>
  <c r="H362" i="40"/>
  <c r="F191" i="40"/>
  <c r="F175" i="40"/>
  <c r="F167" i="40"/>
  <c r="P177" i="40"/>
  <c r="F159" i="40"/>
  <c r="H177" i="40"/>
  <c r="H563" i="40"/>
  <c r="H555" i="40"/>
  <c r="H547" i="40"/>
  <c r="H539" i="40"/>
  <c r="J349" i="40"/>
  <c r="L177" i="40"/>
  <c r="I574" i="40"/>
  <c r="H529" i="40"/>
  <c r="F184" i="40"/>
  <c r="F47" i="40"/>
  <c r="K177" i="40"/>
  <c r="O177" i="40"/>
  <c r="I177" i="40"/>
  <c r="F11" i="40"/>
  <c r="M177" i="40"/>
  <c r="F135" i="40"/>
  <c r="F128" i="40"/>
  <c r="F88" i="40"/>
  <c r="F78" i="40"/>
  <c r="F56" i="40"/>
  <c r="F44" i="40"/>
  <c r="F20" i="40"/>
  <c r="F124" i="40"/>
  <c r="F120" i="40"/>
  <c r="F106" i="40"/>
  <c r="F104" i="40"/>
  <c r="F90" i="40"/>
  <c r="F68" i="40"/>
  <c r="F58" i="40"/>
  <c r="F34" i="40"/>
  <c r="F22" i="40"/>
  <c r="I548" i="40"/>
  <c r="I544" i="40"/>
  <c r="I540" i="40"/>
  <c r="I534" i="40"/>
  <c r="I530" i="40"/>
  <c r="F80" i="40"/>
  <c r="F70" i="40"/>
  <c r="F46" i="40"/>
  <c r="F36" i="40"/>
  <c r="F126" i="40"/>
  <c r="F110" i="40"/>
  <c r="F108" i="40"/>
  <c r="F94" i="40"/>
  <c r="F92" i="40"/>
  <c r="F82" i="40"/>
  <c r="F60" i="40"/>
  <c r="F48" i="40"/>
  <c r="F26" i="40"/>
  <c r="F12" i="40"/>
  <c r="L13" i="10"/>
  <c r="M22" i="23"/>
  <c r="M45" i="23" s="1"/>
  <c r="M36" i="23"/>
  <c r="M29" i="23"/>
  <c r="M31" i="23" s="1"/>
  <c r="N22" i="23"/>
  <c r="N45" i="23" s="1"/>
  <c r="F36" i="23"/>
  <c r="N28" i="23"/>
  <c r="C85" i="44"/>
  <c r="C102" i="44" s="1"/>
  <c r="D102" i="44"/>
  <c r="N244" i="36"/>
  <c r="I35" i="10"/>
  <c r="H31" i="23"/>
  <c r="I22" i="23"/>
  <c r="I45" i="23" s="1"/>
  <c r="J99" i="36"/>
  <c r="J132" i="36" s="1"/>
  <c r="J34" i="37" s="1"/>
  <c r="J209" i="36"/>
  <c r="J241" i="36" s="1"/>
  <c r="J149" i="37" s="1"/>
  <c r="H27" i="10"/>
  <c r="G28" i="10"/>
  <c r="G32" i="10" s="1"/>
  <c r="G37" i="10" s="1"/>
  <c r="I7" i="41" s="1"/>
  <c r="N29" i="23"/>
  <c r="F29" i="23"/>
  <c r="G31" i="23" s="1"/>
  <c r="O244" i="36"/>
  <c r="J210" i="36"/>
  <c r="J242" i="36" s="1"/>
  <c r="J150" i="37" s="1"/>
  <c r="J100" i="36"/>
  <c r="J133" i="36" s="1"/>
  <c r="J35" i="37" s="1"/>
  <c r="F30" i="10"/>
  <c r="F32" i="10" s="1"/>
  <c r="M135" i="36"/>
  <c r="M136" i="36" s="1"/>
  <c r="L53" i="44" a="1"/>
  <c r="L53" i="44" s="1"/>
  <c r="L114" i="44" s="1"/>
  <c r="M53" i="44" a="1"/>
  <c r="M53" i="44" s="1"/>
  <c r="M114" i="44" s="1"/>
  <c r="K53" i="44" a="1"/>
  <c r="K53" i="44" s="1"/>
  <c r="K114" i="44" s="1"/>
  <c r="O69" i="44"/>
  <c r="P69" i="44"/>
  <c r="F10" i="3"/>
  <c r="H34" i="3"/>
  <c r="F34" i="3" s="1"/>
  <c r="L102" i="36"/>
  <c r="L112" i="36"/>
  <c r="L14" i="37" s="1"/>
  <c r="L37" i="37" s="1"/>
  <c r="J102" i="36"/>
  <c r="J106" i="36"/>
  <c r="K102" i="36"/>
  <c r="K105" i="36"/>
  <c r="J95" i="44"/>
  <c r="J97" i="44" s="1"/>
  <c r="D104" i="44" s="1"/>
  <c r="C97" i="44"/>
  <c r="Q69" i="44"/>
  <c r="N220" i="36"/>
  <c r="N128" i="37" s="1"/>
  <c r="N212" i="36"/>
  <c r="K212" i="36"/>
  <c r="K215" i="36"/>
  <c r="L212" i="36"/>
  <c r="L214" i="36"/>
  <c r="M69" i="44"/>
  <c r="H53" i="44" a="1"/>
  <c r="H53" i="44" s="1"/>
  <c r="H114" i="44" s="1"/>
  <c r="L69" i="44"/>
  <c r="N135" i="36"/>
  <c r="N136" i="36" s="1"/>
  <c r="O102" i="36"/>
  <c r="G102" i="36"/>
  <c r="H102" i="36"/>
  <c r="I203" i="36"/>
  <c r="I235" i="36" s="1"/>
  <c r="I143" i="37" s="1"/>
  <c r="I93" i="36"/>
  <c r="I126" i="36" s="1"/>
  <c r="I28" i="37" s="1"/>
  <c r="G244" i="36"/>
  <c r="H244" i="36"/>
  <c r="N102" i="36"/>
  <c r="C6" i="30"/>
  <c r="C19" i="30" s="1"/>
  <c r="K8" i="30"/>
  <c r="O11" i="30"/>
  <c r="J12" i="30"/>
  <c r="C13" i="30"/>
  <c r="C26" i="30" s="1"/>
  <c r="K13" i="30"/>
  <c r="D14" i="30"/>
  <c r="E15" i="30"/>
  <c r="F16" i="30"/>
  <c r="D6" i="30"/>
  <c r="F8" i="30"/>
  <c r="O10" i="30"/>
  <c r="J11" i="30"/>
  <c r="C12" i="30"/>
  <c r="C25" i="30" s="1"/>
  <c r="K12" i="30"/>
  <c r="D13" i="30"/>
  <c r="E14" i="30"/>
  <c r="F15" i="30"/>
  <c r="E6" i="30"/>
  <c r="O7" i="30"/>
  <c r="O9" i="30"/>
  <c r="J10" i="30"/>
  <c r="C11" i="30"/>
  <c r="C24" i="30" s="1"/>
  <c r="K11" i="30"/>
  <c r="D12" i="30"/>
  <c r="E13" i="30"/>
  <c r="F14" i="30"/>
  <c r="F6" i="30"/>
  <c r="J6" i="30"/>
  <c r="J7" i="30"/>
  <c r="O8" i="30"/>
  <c r="J9" i="30"/>
  <c r="C10" i="30"/>
  <c r="C23" i="30" s="1"/>
  <c r="K10" i="30"/>
  <c r="D11" i="30"/>
  <c r="E12" i="30"/>
  <c r="F13" i="30"/>
  <c r="O16" i="30"/>
  <c r="D8" i="30"/>
  <c r="C7" i="30"/>
  <c r="C20" i="30" s="1"/>
  <c r="K7" i="30"/>
  <c r="C9" i="30"/>
  <c r="C22" i="30" s="1"/>
  <c r="K9" i="30"/>
  <c r="D10" i="30"/>
  <c r="E11" i="30"/>
  <c r="F12" i="30"/>
  <c r="O15" i="30"/>
  <c r="J16" i="30"/>
  <c r="C8" i="30"/>
  <c r="C21" i="30" s="1"/>
  <c r="J8" i="30"/>
  <c r="D7" i="30"/>
  <c r="D9" i="30"/>
  <c r="E10" i="30"/>
  <c r="F11" i="30"/>
  <c r="O14" i="30"/>
  <c r="J15" i="30"/>
  <c r="C16" i="30"/>
  <c r="C29" i="30" s="1"/>
  <c r="K16" i="30"/>
  <c r="E7" i="30"/>
  <c r="E9" i="30"/>
  <c r="F10" i="30"/>
  <c r="O13" i="30"/>
  <c r="J14" i="30"/>
  <c r="C15" i="30"/>
  <c r="C28" i="30" s="1"/>
  <c r="K15" i="30"/>
  <c r="D16" i="30"/>
  <c r="I51" i="36"/>
  <c r="G53" i="44" a="1"/>
  <c r="G53" i="44" s="1"/>
  <c r="G114" i="44" s="1"/>
  <c r="O212" i="36"/>
  <c r="G212" i="36"/>
  <c r="M102" i="36"/>
  <c r="J53" i="44" a="1"/>
  <c r="J53" i="44" s="1"/>
  <c r="J114" i="44" s="1"/>
  <c r="M212" i="36"/>
  <c r="H73" i="44" a="1"/>
  <c r="H73" i="44" s="1"/>
  <c r="H115" i="44" s="1"/>
  <c r="N69" i="44"/>
  <c r="M73" i="44" s="1" a="1"/>
  <c r="M73" i="44" s="1"/>
  <c r="M115" i="44" s="1"/>
  <c r="O107" i="36"/>
  <c r="G107" i="36"/>
  <c r="H106" i="36"/>
  <c r="I105" i="36"/>
  <c r="I53" i="44" a="1"/>
  <c r="I53" i="44" s="1"/>
  <c r="I114" i="44" s="1"/>
  <c r="I215" i="36"/>
  <c r="J214" i="36"/>
  <c r="H7" i="41" l="1"/>
  <c r="F37" i="10"/>
  <c r="M37" i="23"/>
  <c r="K37" i="23"/>
  <c r="O31" i="23"/>
  <c r="L37" i="23"/>
  <c r="I604" i="40"/>
  <c r="J435" i="40" s="1"/>
  <c r="J604" i="40" s="1"/>
  <c r="I524" i="40"/>
  <c r="J524" i="40" s="1"/>
  <c r="J509" i="40"/>
  <c r="J678" i="40" s="1"/>
  <c r="J686" i="40"/>
  <c r="J578" i="40"/>
  <c r="J495" i="40"/>
  <c r="J664" i="40" s="1"/>
  <c r="K495" i="40" s="1"/>
  <c r="J514" i="40"/>
  <c r="J683" i="40" s="1"/>
  <c r="K514" i="40" s="1"/>
  <c r="K683" i="40" s="1"/>
  <c r="J417" i="40"/>
  <c r="J586" i="40" s="1"/>
  <c r="J413" i="40"/>
  <c r="J582" i="40" s="1"/>
  <c r="K413" i="40" s="1"/>
  <c r="K582" i="40" s="1"/>
  <c r="J660" i="40"/>
  <c r="K491" i="40" s="1"/>
  <c r="F354" i="40"/>
  <c r="J682" i="40"/>
  <c r="I538" i="40"/>
  <c r="J369" i="40" s="1"/>
  <c r="I359" i="40"/>
  <c r="I528" i="40" s="1"/>
  <c r="J416" i="40"/>
  <c r="J585" i="40" s="1"/>
  <c r="K31" i="23"/>
  <c r="N37" i="23"/>
  <c r="N39" i="23" s="1"/>
  <c r="H37" i="23"/>
  <c r="H39" i="23" s="1"/>
  <c r="H42" i="23" s="1"/>
  <c r="H48" i="23" s="1"/>
  <c r="H50" i="23" s="1"/>
  <c r="H54" i="23" s="1"/>
  <c r="F26" i="22" s="1"/>
  <c r="F33" i="22" s="1"/>
  <c r="J37" i="23"/>
  <c r="K39" i="23" s="1"/>
  <c r="K42" i="23" s="1"/>
  <c r="K48" i="23" s="1"/>
  <c r="K50" i="23" s="1"/>
  <c r="K54" i="23" s="1"/>
  <c r="I26" i="22" s="1"/>
  <c r="I33" i="22" s="1"/>
  <c r="H7" i="30"/>
  <c r="H20" i="30" s="1"/>
  <c r="G184" i="41" s="1"/>
  <c r="L31" i="23"/>
  <c r="J31" i="23"/>
  <c r="O37" i="23"/>
  <c r="I37" i="23"/>
  <c r="F37" i="23"/>
  <c r="G39" i="23" s="1"/>
  <c r="G42" i="23" s="1"/>
  <c r="G48" i="23" s="1"/>
  <c r="G50" i="23" s="1"/>
  <c r="G54" i="23" s="1"/>
  <c r="E26" i="22" s="1"/>
  <c r="E33" i="22" s="1"/>
  <c r="G15" i="30"/>
  <c r="G28" i="30" s="1"/>
  <c r="N186" i="37" s="1"/>
  <c r="M39" i="23"/>
  <c r="M42" i="23" s="1"/>
  <c r="M48" i="23" s="1"/>
  <c r="M50" i="23" s="1"/>
  <c r="M54" i="23" s="1"/>
  <c r="K26" i="22" s="1"/>
  <c r="K33" i="22" s="1"/>
  <c r="I14" i="30"/>
  <c r="I27" i="30" s="1"/>
  <c r="N181" i="41" s="1"/>
  <c r="N696" i="40" s="1"/>
  <c r="H6" i="30"/>
  <c r="H19" i="30" s="1"/>
  <c r="I8" i="30"/>
  <c r="I21" i="30" s="1"/>
  <c r="H181" i="41" s="1"/>
  <c r="H696" i="40" s="1"/>
  <c r="H713" i="40" s="1"/>
  <c r="H8" i="30"/>
  <c r="H21" i="30" s="1"/>
  <c r="H184" i="41" s="1"/>
  <c r="H697" i="40" s="1"/>
  <c r="H730" i="40" s="1"/>
  <c r="J445" i="40"/>
  <c r="J614" i="40" s="1"/>
  <c r="J496" i="40"/>
  <c r="J665" i="40" s="1"/>
  <c r="J512" i="40"/>
  <c r="J681" i="40" s="1"/>
  <c r="K510" i="40"/>
  <c r="K679" i="40" s="1"/>
  <c r="K429" i="40"/>
  <c r="K449" i="40"/>
  <c r="K618" i="40" s="1"/>
  <c r="J508" i="40"/>
  <c r="J438" i="40"/>
  <c r="J607" i="40" s="1"/>
  <c r="N90" i="37"/>
  <c r="N160" i="37" s="1"/>
  <c r="N91" i="37"/>
  <c r="N161" i="37" s="1"/>
  <c r="N92" i="37"/>
  <c r="N162" i="37" s="1"/>
  <c r="N97" i="37"/>
  <c r="N167" i="37" s="1"/>
  <c r="J419" i="40"/>
  <c r="J588" i="40" s="1"/>
  <c r="M104" i="37"/>
  <c r="M174" i="37" s="1"/>
  <c r="M109" i="37"/>
  <c r="M179" i="37" s="1"/>
  <c r="M114" i="37"/>
  <c r="M184" i="37" s="1"/>
  <c r="M108" i="37"/>
  <c r="M178" i="37" s="1"/>
  <c r="K433" i="40"/>
  <c r="K602" i="40" s="1"/>
  <c r="K461" i="40"/>
  <c r="K630" i="40" s="1"/>
  <c r="L70" i="37"/>
  <c r="L54" i="37"/>
  <c r="L58" i="37"/>
  <c r="L62" i="37"/>
  <c r="L67" i="37"/>
  <c r="L71" i="37"/>
  <c r="L75" i="37"/>
  <c r="L79" i="37"/>
  <c r="L40" i="37"/>
  <c r="L61" i="37"/>
  <c r="L55" i="37"/>
  <c r="L63" i="37"/>
  <c r="L68" i="37"/>
  <c r="L72" i="37"/>
  <c r="L76" i="37"/>
  <c r="L80" i="37"/>
  <c r="L78" i="37"/>
  <c r="L65" i="37"/>
  <c r="L52" i="37"/>
  <c r="L56" i="37"/>
  <c r="L60" i="37"/>
  <c r="L64" i="37"/>
  <c r="L69" i="37"/>
  <c r="L73" i="37"/>
  <c r="L77" i="37"/>
  <c r="L81" i="37"/>
  <c r="L53" i="37"/>
  <c r="L57" i="37"/>
  <c r="L74" i="37"/>
  <c r="L45" i="37"/>
  <c r="K404" i="40"/>
  <c r="K573" i="40" s="1"/>
  <c r="J488" i="40"/>
  <c r="J657" i="40" s="1"/>
  <c r="K401" i="40"/>
  <c r="K570" i="40" s="1"/>
  <c r="K487" i="40"/>
  <c r="K656" i="40" s="1"/>
  <c r="J407" i="40"/>
  <c r="J576" i="40" s="1"/>
  <c r="J454" i="40"/>
  <c r="J623" i="40" s="1"/>
  <c r="J450" i="40"/>
  <c r="J619" i="40" s="1"/>
  <c r="J472" i="40"/>
  <c r="J641" i="40" s="1"/>
  <c r="J397" i="40"/>
  <c r="J566" i="40" s="1"/>
  <c r="J442" i="40"/>
  <c r="J611" i="40" s="1"/>
  <c r="J478" i="40"/>
  <c r="J494" i="40"/>
  <c r="J663" i="40" s="1"/>
  <c r="J424" i="40"/>
  <c r="J593" i="40" s="1"/>
  <c r="J492" i="40"/>
  <c r="J661" i="40" s="1"/>
  <c r="J515" i="40"/>
  <c r="J516" i="40"/>
  <c r="J685" i="40" s="1"/>
  <c r="K518" i="40"/>
  <c r="K687" i="40" s="1"/>
  <c r="O106" i="16"/>
  <c r="O147" i="16"/>
  <c r="I106" i="16"/>
  <c r="I147" i="16"/>
  <c r="J106" i="16"/>
  <c r="J147" i="16"/>
  <c r="M157" i="16"/>
  <c r="M101" i="16"/>
  <c r="I123" i="37"/>
  <c r="L73" i="44" a="1"/>
  <c r="L73" i="44" s="1"/>
  <c r="L115" i="44" s="1"/>
  <c r="G16" i="30"/>
  <c r="G29" i="30" s="1"/>
  <c r="O186" i="37" s="1"/>
  <c r="D29" i="30"/>
  <c r="L8" i="30"/>
  <c r="N8" i="30" s="1"/>
  <c r="N21" i="30" s="1"/>
  <c r="M8" i="30"/>
  <c r="H13" i="30"/>
  <c r="H26" i="30" s="1"/>
  <c r="M184" i="41" s="1"/>
  <c r="M697" i="40" s="1"/>
  <c r="I15" i="30"/>
  <c r="I28" i="30" s="1"/>
  <c r="O181" i="41" s="1"/>
  <c r="O696" i="40" s="1"/>
  <c r="D19" i="30"/>
  <c r="G6" i="30"/>
  <c r="G19" i="30" s="1"/>
  <c r="I7" i="30"/>
  <c r="I20" i="30" s="1"/>
  <c r="G181" i="41" s="1"/>
  <c r="L135" i="36"/>
  <c r="L136" i="36" s="1"/>
  <c r="N31" i="23"/>
  <c r="M13" i="10"/>
  <c r="H549" i="40"/>
  <c r="H583" i="40"/>
  <c r="J381" i="40"/>
  <c r="I569" i="40"/>
  <c r="H537" i="40"/>
  <c r="H571" i="40"/>
  <c r="J485" i="40"/>
  <c r="J654" i="40" s="1"/>
  <c r="I444" i="40"/>
  <c r="I613" i="40"/>
  <c r="H792" i="40"/>
  <c r="J431" i="40"/>
  <c r="J600" i="40" s="1"/>
  <c r="J504" i="40"/>
  <c r="L147" i="16"/>
  <c r="O101" i="16"/>
  <c r="O157" i="16"/>
  <c r="I107" i="16"/>
  <c r="I171" i="16"/>
  <c r="K31" i="16"/>
  <c r="M147" i="16"/>
  <c r="M106" i="16"/>
  <c r="J447" i="40"/>
  <c r="I364" i="40"/>
  <c r="I533" i="40" s="1"/>
  <c r="I16" i="30"/>
  <c r="I29" i="30" s="1"/>
  <c r="P181" i="41" s="1"/>
  <c r="P696" i="40" s="1"/>
  <c r="H16" i="30"/>
  <c r="H29" i="30" s="1"/>
  <c r="P184" i="41" s="1"/>
  <c r="P697" i="40" s="1"/>
  <c r="K73" i="44" a="1"/>
  <c r="K73" i="44" s="1"/>
  <c r="K115" i="44" s="1"/>
  <c r="I73" i="44" a="1"/>
  <c r="I73" i="44" s="1"/>
  <c r="I115" i="44" s="1"/>
  <c r="F103" i="44"/>
  <c r="F102" i="44"/>
  <c r="J361" i="40"/>
  <c r="J530" i="40" s="1"/>
  <c r="J363" i="40"/>
  <c r="J532" i="40" s="1"/>
  <c r="I386" i="40"/>
  <c r="I555" i="40" s="1"/>
  <c r="J389" i="40"/>
  <c r="J558" i="40" s="1"/>
  <c r="J451" i="40"/>
  <c r="I463" i="40"/>
  <c r="I632" i="40" s="1"/>
  <c r="I456" i="40"/>
  <c r="J489" i="40"/>
  <c r="J658" i="40" s="1"/>
  <c r="J420" i="40"/>
  <c r="J453" i="40"/>
  <c r="J622" i="40" s="1"/>
  <c r="J482" i="40"/>
  <c r="J439" i="40"/>
  <c r="J608" i="40" s="1"/>
  <c r="I457" i="40"/>
  <c r="I626" i="40" s="1"/>
  <c r="J497" i="40"/>
  <c r="J666" i="40" s="1"/>
  <c r="J505" i="40"/>
  <c r="I523" i="40"/>
  <c r="L101" i="16"/>
  <c r="L157" i="16"/>
  <c r="N22" i="16"/>
  <c r="N27" i="16"/>
  <c r="N31" i="16"/>
  <c r="N32" i="16"/>
  <c r="N161" i="16" s="1"/>
  <c r="N33" i="16"/>
  <c r="O34" i="16"/>
  <c r="O171" i="16" s="1"/>
  <c r="H100" i="16"/>
  <c r="H137" i="16"/>
  <c r="O26" i="16"/>
  <c r="O141" i="16" s="1"/>
  <c r="I100" i="16"/>
  <c r="I137" i="16"/>
  <c r="I92" i="36"/>
  <c r="I202" i="36"/>
  <c r="I360" i="40"/>
  <c r="I374" i="40"/>
  <c r="I452" i="40"/>
  <c r="I621" i="40" s="1"/>
  <c r="I440" i="40"/>
  <c r="I609" i="40" s="1"/>
  <c r="M15" i="30"/>
  <c r="L15" i="30"/>
  <c r="N15" i="30" s="1"/>
  <c r="N28" i="30" s="1"/>
  <c r="L16" i="30"/>
  <c r="N16" i="30" s="1"/>
  <c r="N29" i="30" s="1"/>
  <c r="M16" i="30"/>
  <c r="L9" i="30"/>
  <c r="N9" i="30" s="1"/>
  <c r="N22" i="30" s="1"/>
  <c r="M9" i="30"/>
  <c r="G13" i="30"/>
  <c r="G26" i="30" s="1"/>
  <c r="L186" i="37" s="1"/>
  <c r="D26" i="30"/>
  <c r="H15" i="30"/>
  <c r="H28" i="30" s="1"/>
  <c r="O184" i="41" s="1"/>
  <c r="O697" i="40" s="1"/>
  <c r="J73" i="44" a="1"/>
  <c r="J73" i="44" s="1"/>
  <c r="J115" i="44" s="1"/>
  <c r="K135" i="36"/>
  <c r="K136" i="36" s="1"/>
  <c r="K7" i="37"/>
  <c r="H248" i="41"/>
  <c r="J365" i="40"/>
  <c r="J534" i="40" s="1"/>
  <c r="I403" i="40"/>
  <c r="I572" i="40" s="1"/>
  <c r="J391" i="40"/>
  <c r="J560" i="40" s="1"/>
  <c r="H557" i="40"/>
  <c r="H591" i="40"/>
  <c r="I382" i="40"/>
  <c r="H545" i="40"/>
  <c r="H579" i="40"/>
  <c r="K409" i="40"/>
  <c r="K578" i="40" s="1"/>
  <c r="I448" i="40"/>
  <c r="I617" i="40" s="1"/>
  <c r="J421" i="40"/>
  <c r="J590" i="40" s="1"/>
  <c r="J455" i="40"/>
  <c r="J624" i="40" s="1"/>
  <c r="J500" i="40"/>
  <c r="J502" i="40"/>
  <c r="J671" i="40" s="1"/>
  <c r="I503" i="40"/>
  <c r="K499" i="40"/>
  <c r="K668" i="40" s="1"/>
  <c r="O167" i="16"/>
  <c r="N100" i="16"/>
  <c r="N137" i="16"/>
  <c r="H107" i="16"/>
  <c r="H167" i="16"/>
  <c r="J100" i="16"/>
  <c r="J244" i="36"/>
  <c r="J122" i="37"/>
  <c r="D24" i="30"/>
  <c r="G11" i="30"/>
  <c r="G24" i="30" s="1"/>
  <c r="J186" i="37" s="1"/>
  <c r="D25" i="30"/>
  <c r="G12" i="30"/>
  <c r="G25" i="30" s="1"/>
  <c r="K186" i="37" s="1"/>
  <c r="G14" i="30"/>
  <c r="G27" i="30" s="1"/>
  <c r="M186" i="37" s="1"/>
  <c r="D27" i="30"/>
  <c r="I9" i="30"/>
  <c r="I22" i="30" s="1"/>
  <c r="I181" i="41" s="1"/>
  <c r="I696" i="40" s="1"/>
  <c r="I793" i="40" s="1"/>
  <c r="I27" i="10"/>
  <c r="H28" i="10"/>
  <c r="J371" i="40"/>
  <c r="I370" i="40"/>
  <c r="I539" i="40" s="1"/>
  <c r="J387" i="40"/>
  <c r="J377" i="40"/>
  <c r="J546" i="40" s="1"/>
  <c r="K412" i="40"/>
  <c r="K581" i="40" s="1"/>
  <c r="I460" i="40"/>
  <c r="I629" i="40" s="1"/>
  <c r="I436" i="40"/>
  <c r="J443" i="40"/>
  <c r="I432" i="40"/>
  <c r="I601" i="40" s="1"/>
  <c r="J486" i="40"/>
  <c r="J655" i="40" s="1"/>
  <c r="J458" i="40"/>
  <c r="J470" i="40"/>
  <c r="K479" i="40"/>
  <c r="K648" i="40" s="1"/>
  <c r="I423" i="40"/>
  <c r="I592" i="40" s="1"/>
  <c r="H771" i="40"/>
  <c r="I637" i="40"/>
  <c r="J498" i="40"/>
  <c r="K475" i="40"/>
  <c r="K644" i="40" s="1"/>
  <c r="J480" i="40"/>
  <c r="J649" i="40" s="1"/>
  <c r="L167" i="16"/>
  <c r="N76" i="37"/>
  <c r="N111" i="37" s="1"/>
  <c r="N181" i="37" s="1"/>
  <c r="N52" i="37"/>
  <c r="N87" i="37" s="1"/>
  <c r="N56" i="37"/>
  <c r="N60" i="37"/>
  <c r="N95" i="37" s="1"/>
  <c r="N165" i="37" s="1"/>
  <c r="N64" i="37"/>
  <c r="N99" i="37" s="1"/>
  <c r="N169" i="37" s="1"/>
  <c r="N69" i="37"/>
  <c r="N104" i="37" s="1"/>
  <c r="N174" i="37" s="1"/>
  <c r="N73" i="37"/>
  <c r="N108" i="37" s="1"/>
  <c r="N178" i="37" s="1"/>
  <c r="N77" i="37"/>
  <c r="N112" i="37" s="1"/>
  <c r="N182" i="37" s="1"/>
  <c r="N81" i="37"/>
  <c r="N116" i="37" s="1"/>
  <c r="N151" i="37" s="1"/>
  <c r="N63" i="37"/>
  <c r="N98" i="37" s="1"/>
  <c r="N168" i="37" s="1"/>
  <c r="N53" i="37"/>
  <c r="N88" i="37" s="1"/>
  <c r="N158" i="37" s="1"/>
  <c r="N57" i="37"/>
  <c r="N61" i="37"/>
  <c r="N96" i="37" s="1"/>
  <c r="N166" i="37" s="1"/>
  <c r="N65" i="37"/>
  <c r="N100" i="37" s="1"/>
  <c r="N170" i="37" s="1"/>
  <c r="N70" i="37"/>
  <c r="N105" i="37" s="1"/>
  <c r="N175" i="37" s="1"/>
  <c r="N74" i="37"/>
  <c r="N109" i="37" s="1"/>
  <c r="N179" i="37" s="1"/>
  <c r="N78" i="37"/>
  <c r="N113" i="37" s="1"/>
  <c r="N183" i="37" s="1"/>
  <c r="N55" i="37"/>
  <c r="N80" i="37"/>
  <c r="N115" i="37" s="1"/>
  <c r="N185" i="37" s="1"/>
  <c r="N68" i="37"/>
  <c r="N103" i="37" s="1"/>
  <c r="N173" i="37" s="1"/>
  <c r="N54" i="37"/>
  <c r="N89" i="37" s="1"/>
  <c r="N159" i="37" s="1"/>
  <c r="N58" i="37"/>
  <c r="N93" i="37" s="1"/>
  <c r="N163" i="37" s="1"/>
  <c r="N62" i="37"/>
  <c r="N67" i="37"/>
  <c r="N102" i="37" s="1"/>
  <c r="N172" i="37" s="1"/>
  <c r="N71" i="37"/>
  <c r="N106" i="37" s="1"/>
  <c r="N176" i="37" s="1"/>
  <c r="N75" i="37"/>
  <c r="N110" i="37" s="1"/>
  <c r="N180" i="37" s="1"/>
  <c r="N79" i="37"/>
  <c r="N114" i="37" s="1"/>
  <c r="N184" i="37" s="1"/>
  <c r="N40" i="37"/>
  <c r="N59" i="37"/>
  <c r="N94" i="37" s="1"/>
  <c r="N164" i="37" s="1"/>
  <c r="N72" i="37"/>
  <c r="N107" i="37" s="1"/>
  <c r="N177" i="37" s="1"/>
  <c r="L34" i="16"/>
  <c r="L171" i="16" s="1"/>
  <c r="G7" i="30"/>
  <c r="G20" i="30" s="1"/>
  <c r="D20" i="30"/>
  <c r="K244" i="36"/>
  <c r="K123" i="37"/>
  <c r="J373" i="40"/>
  <c r="J542" i="40" s="1"/>
  <c r="H14" i="30"/>
  <c r="H27" i="30" s="1"/>
  <c r="N184" i="41" s="1"/>
  <c r="N697" i="40" s="1"/>
  <c r="I7" i="37"/>
  <c r="H135" i="36"/>
  <c r="H136" i="36" s="1"/>
  <c r="H8" i="37"/>
  <c r="D21" i="30"/>
  <c r="G8" i="30"/>
  <c r="G21" i="30" s="1"/>
  <c r="G186" i="37" s="1"/>
  <c r="G135" i="36"/>
  <c r="G136" i="36" s="1"/>
  <c r="G9" i="37"/>
  <c r="I11" i="30"/>
  <c r="I24" i="30" s="1"/>
  <c r="K181" i="41" s="1"/>
  <c r="K696" i="40" s="1"/>
  <c r="I12" i="30"/>
  <c r="I25" i="30" s="1"/>
  <c r="L181" i="41" s="1"/>
  <c r="L696" i="40" s="1"/>
  <c r="L7" i="30"/>
  <c r="N7" i="30" s="1"/>
  <c r="N20" i="30" s="1"/>
  <c r="M7" i="30"/>
  <c r="L10" i="30"/>
  <c r="N10" i="30" s="1"/>
  <c r="N23" i="30" s="1"/>
  <c r="M10" i="30"/>
  <c r="J135" i="36"/>
  <c r="J136" i="36" s="1"/>
  <c r="J8" i="37"/>
  <c r="M13" i="30"/>
  <c r="J375" i="40"/>
  <c r="J544" i="40" s="1"/>
  <c r="H531" i="40"/>
  <c r="H567" i="40"/>
  <c r="F349" i="40"/>
  <c r="H553" i="40"/>
  <c r="H587" i="40"/>
  <c r="J385" i="40"/>
  <c r="J554" i="40" s="1"/>
  <c r="J446" i="40"/>
  <c r="J615" i="40" s="1"/>
  <c r="J415" i="40"/>
  <c r="J584" i="40" s="1"/>
  <c r="J425" i="40"/>
  <c r="I459" i="40"/>
  <c r="I628" i="40" s="1"/>
  <c r="J408" i="40"/>
  <c r="J577" i="40" s="1"/>
  <c r="I462" i="40"/>
  <c r="I631" i="40" s="1"/>
  <c r="J437" i="40"/>
  <c r="J606" i="40" s="1"/>
  <c r="J430" i="40"/>
  <c r="J599" i="40" s="1"/>
  <c r="J493" i="40"/>
  <c r="J662" i="40" s="1"/>
  <c r="K471" i="40"/>
  <c r="K640" i="40" s="1"/>
  <c r="J511" i="40"/>
  <c r="J680" i="40" s="1"/>
  <c r="K28" i="16"/>
  <c r="K151" i="16" s="1"/>
  <c r="K34" i="16"/>
  <c r="K171" i="16" s="1"/>
  <c r="K25" i="16"/>
  <c r="K26" i="16"/>
  <c r="K141" i="16" s="1"/>
  <c r="J33" i="16"/>
  <c r="M60" i="37"/>
  <c r="M95" i="37" s="1"/>
  <c r="M165" i="37" s="1"/>
  <c r="M53" i="37"/>
  <c r="M88" i="37" s="1"/>
  <c r="M158" i="37" s="1"/>
  <c r="M57" i="37"/>
  <c r="M92" i="37" s="1"/>
  <c r="M162" i="37" s="1"/>
  <c r="M61" i="37"/>
  <c r="M96" i="37" s="1"/>
  <c r="M166" i="37" s="1"/>
  <c r="M65" i="37"/>
  <c r="M100" i="37" s="1"/>
  <c r="M170" i="37" s="1"/>
  <c r="M70" i="37"/>
  <c r="M105" i="37" s="1"/>
  <c r="M175" i="37" s="1"/>
  <c r="M74" i="37"/>
  <c r="M78" i="37"/>
  <c r="M113" i="37" s="1"/>
  <c r="M183" i="37" s="1"/>
  <c r="M64" i="37"/>
  <c r="M99" i="37" s="1"/>
  <c r="M169" i="37" s="1"/>
  <c r="M77" i="37"/>
  <c r="M112" i="37" s="1"/>
  <c r="M182" i="37" s="1"/>
  <c r="M54" i="37"/>
  <c r="M89" i="37" s="1"/>
  <c r="M159" i="37" s="1"/>
  <c r="M58" i="37"/>
  <c r="M93" i="37" s="1"/>
  <c r="M163" i="37" s="1"/>
  <c r="M62" i="37"/>
  <c r="M97" i="37" s="1"/>
  <c r="M167" i="37" s="1"/>
  <c r="M67" i="37"/>
  <c r="M102" i="37" s="1"/>
  <c r="M172" i="37" s="1"/>
  <c r="M71" i="37"/>
  <c r="M106" i="37" s="1"/>
  <c r="M176" i="37" s="1"/>
  <c r="M75" i="37"/>
  <c r="M110" i="37" s="1"/>
  <c r="M180" i="37" s="1"/>
  <c r="M79" i="37"/>
  <c r="M69" i="37"/>
  <c r="M40" i="37"/>
  <c r="M52" i="37"/>
  <c r="M87" i="37" s="1"/>
  <c r="M81" i="37"/>
  <c r="M116" i="37" s="1"/>
  <c r="M151" i="37" s="1"/>
  <c r="M55" i="37"/>
  <c r="M90" i="37" s="1"/>
  <c r="M160" i="37" s="1"/>
  <c r="M59" i="37"/>
  <c r="M94" i="37" s="1"/>
  <c r="M164" i="37" s="1"/>
  <c r="M63" i="37"/>
  <c r="M98" i="37" s="1"/>
  <c r="M168" i="37" s="1"/>
  <c r="M68" i="37"/>
  <c r="M103" i="37" s="1"/>
  <c r="M173" i="37" s="1"/>
  <c r="M72" i="37"/>
  <c r="M107" i="37" s="1"/>
  <c r="M177" i="37" s="1"/>
  <c r="M76" i="37"/>
  <c r="M111" i="37" s="1"/>
  <c r="M181" i="37" s="1"/>
  <c r="M80" i="37"/>
  <c r="M115" i="37" s="1"/>
  <c r="M185" i="37" s="1"/>
  <c r="M56" i="37"/>
  <c r="M91" i="37" s="1"/>
  <c r="M161" i="37" s="1"/>
  <c r="M73" i="37"/>
  <c r="H101" i="16"/>
  <c r="H157" i="16"/>
  <c r="K22" i="16"/>
  <c r="L28" i="16"/>
  <c r="L151" i="16" s="1"/>
  <c r="L14" i="30"/>
  <c r="N14" i="30" s="1"/>
  <c r="N27" i="30" s="1"/>
  <c r="M14" i="30"/>
  <c r="O135" i="36"/>
  <c r="O136" i="36" s="1"/>
  <c r="O9" i="37"/>
  <c r="I10" i="30"/>
  <c r="I23" i="30" s="1"/>
  <c r="J181" i="41" s="1"/>
  <c r="J696" i="40" s="1"/>
  <c r="J809" i="40" s="1"/>
  <c r="H10" i="30"/>
  <c r="H23" i="30" s="1"/>
  <c r="J184" i="41" s="1"/>
  <c r="J697" i="40" s="1"/>
  <c r="J865" i="40" s="1"/>
  <c r="H11" i="30"/>
  <c r="H24" i="30" s="1"/>
  <c r="K184" i="41" s="1"/>
  <c r="K697" i="40" s="1"/>
  <c r="I13" i="30"/>
  <c r="I26" i="30" s="1"/>
  <c r="M181" i="41" s="1"/>
  <c r="M696" i="40" s="1"/>
  <c r="L6" i="30"/>
  <c r="N6" i="30" s="1"/>
  <c r="N19" i="30" s="1"/>
  <c r="M6" i="30"/>
  <c r="L11" i="30"/>
  <c r="N11" i="30" s="1"/>
  <c r="N24" i="30" s="1"/>
  <c r="M11" i="30"/>
  <c r="J212" i="36"/>
  <c r="L244" i="36"/>
  <c r="L122" i="37"/>
  <c r="L13" i="30"/>
  <c r="N13" i="30" s="1"/>
  <c r="N26" i="30" s="1"/>
  <c r="L39" i="23"/>
  <c r="L42" i="23" s="1"/>
  <c r="L48" i="23" s="1"/>
  <c r="L50" i="23" s="1"/>
  <c r="L54" i="23" s="1"/>
  <c r="J26" i="22" s="1"/>
  <c r="J33" i="22" s="1"/>
  <c r="J379" i="40"/>
  <c r="K355" i="40"/>
  <c r="L355" i="40" s="1"/>
  <c r="M355" i="40" s="1"/>
  <c r="N355" i="40" s="1"/>
  <c r="O355" i="40" s="1"/>
  <c r="P355" i="40" s="1"/>
  <c r="I394" i="40"/>
  <c r="I563" i="40" s="1"/>
  <c r="H527" i="40"/>
  <c r="J393" i="40"/>
  <c r="J562" i="40" s="1"/>
  <c r="J473" i="40"/>
  <c r="J642" i="40" s="1"/>
  <c r="I467" i="40"/>
  <c r="I636" i="40" s="1"/>
  <c r="J474" i="40"/>
  <c r="J643" i="40" s="1"/>
  <c r="J490" i="40"/>
  <c r="J659" i="40" s="1"/>
  <c r="I466" i="40"/>
  <c r="J506" i="40"/>
  <c r="J675" i="40" s="1"/>
  <c r="I428" i="40"/>
  <c r="I597" i="40" s="1"/>
  <c r="K513" i="40"/>
  <c r="K682" i="40" s="1"/>
  <c r="I469" i="40"/>
  <c r="I101" i="16"/>
  <c r="I161" i="16"/>
  <c r="J32" i="16"/>
  <c r="J161" i="16" s="1"/>
  <c r="H106" i="16"/>
  <c r="H147" i="16"/>
  <c r="M107" i="16"/>
  <c r="M167" i="16"/>
  <c r="M100" i="16"/>
  <c r="M102" i="16" s="1"/>
  <c r="M103" i="16" s="1"/>
  <c r="M137" i="16"/>
  <c r="H723" i="40"/>
  <c r="H824" i="40"/>
  <c r="H826" i="40"/>
  <c r="H859" i="40"/>
  <c r="J481" i="40"/>
  <c r="J650" i="40" s="1"/>
  <c r="H9" i="30"/>
  <c r="H22" i="30" s="1"/>
  <c r="I184" i="41" s="1"/>
  <c r="I697" i="40" s="1"/>
  <c r="I860" i="40" s="1"/>
  <c r="G9" i="30"/>
  <c r="G22" i="30" s="1"/>
  <c r="H186" i="37" s="1"/>
  <c r="D22" i="30"/>
  <c r="D23" i="30"/>
  <c r="G10" i="30"/>
  <c r="G23" i="30" s="1"/>
  <c r="I186" i="37" s="1"/>
  <c r="H12" i="30"/>
  <c r="H25" i="30" s="1"/>
  <c r="L184" i="41" s="1"/>
  <c r="L697" i="40" s="1"/>
  <c r="I6" i="30"/>
  <c r="I19" i="30" s="1"/>
  <c r="L12" i="30"/>
  <c r="N12" i="30" s="1"/>
  <c r="N25" i="30" s="1"/>
  <c r="M12" i="30"/>
  <c r="C99" i="44"/>
  <c r="C104" i="44" s="1"/>
  <c r="F104" i="44" s="1"/>
  <c r="L59" i="37"/>
  <c r="L94" i="37"/>
  <c r="L164" i="37" s="1"/>
  <c r="G73" i="44" a="1"/>
  <c r="G73" i="44" s="1"/>
  <c r="G115" i="44" s="1"/>
  <c r="J35" i="10"/>
  <c r="J383" i="40"/>
  <c r="J552" i="40" s="1"/>
  <c r="J405" i="40"/>
  <c r="I378" i="40"/>
  <c r="F177" i="40"/>
  <c r="H541" i="40"/>
  <c r="H575" i="40"/>
  <c r="I390" i="40"/>
  <c r="I559" i="40" s="1"/>
  <c r="H561" i="40"/>
  <c r="H595" i="40"/>
  <c r="J399" i="40"/>
  <c r="J568" i="40" s="1"/>
  <c r="J427" i="40"/>
  <c r="J596" i="40" s="1"/>
  <c r="J441" i="40"/>
  <c r="J610" i="40" s="1"/>
  <c r="J477" i="40"/>
  <c r="J646" i="40" s="1"/>
  <c r="I411" i="40"/>
  <c r="J483" i="40"/>
  <c r="J652" i="40" s="1"/>
  <c r="J670" i="40"/>
  <c r="I603" i="40"/>
  <c r="I653" i="40"/>
  <c r="K517" i="40"/>
  <c r="K686" i="40" s="1"/>
  <c r="I645" i="40"/>
  <c r="I507" i="40"/>
  <c r="I676" i="40" s="1"/>
  <c r="K27" i="16"/>
  <c r="K32" i="16"/>
  <c r="K161" i="16" s="1"/>
  <c r="K33" i="16"/>
  <c r="O25" i="16"/>
  <c r="J31" i="16"/>
  <c r="L25" i="16"/>
  <c r="H249" i="41" l="1"/>
  <c r="I39" i="23"/>
  <c r="I42" i="23" s="1"/>
  <c r="I48" i="23" s="1"/>
  <c r="I50" i="23" s="1"/>
  <c r="I54" i="23" s="1"/>
  <c r="G26" i="22" s="1"/>
  <c r="G33" i="22" s="1"/>
  <c r="O39" i="23"/>
  <c r="O42" i="23" s="1"/>
  <c r="O48" i="23" s="1"/>
  <c r="O50" i="23" s="1"/>
  <c r="O54" i="23" s="1"/>
  <c r="M26" i="22" s="1"/>
  <c r="M33" i="22" s="1"/>
  <c r="L413" i="40"/>
  <c r="L582" i="40" s="1"/>
  <c r="K509" i="40"/>
  <c r="K678" i="40" s="1"/>
  <c r="K664" i="40"/>
  <c r="K660" i="40"/>
  <c r="J359" i="40"/>
  <c r="J528" i="40" s="1"/>
  <c r="F355" i="40"/>
  <c r="K417" i="40"/>
  <c r="K586" i="40" s="1"/>
  <c r="K765" i="40" s="1"/>
  <c r="K416" i="40"/>
  <c r="K585" i="40" s="1"/>
  <c r="H843" i="40"/>
  <c r="H865" i="40"/>
  <c r="H816" i="40"/>
  <c r="H822" i="40"/>
  <c r="H991" i="40" s="1"/>
  <c r="H703" i="40"/>
  <c r="H815" i="40"/>
  <c r="H984" i="40" s="1"/>
  <c r="H341" i="41"/>
  <c r="H303" i="41"/>
  <c r="H217" i="41"/>
  <c r="H228" i="41"/>
  <c r="H741" i="40"/>
  <c r="H338" i="41"/>
  <c r="H334" i="41"/>
  <c r="H190" i="41"/>
  <c r="H830" i="40"/>
  <c r="H308" i="41"/>
  <c r="H835" i="40"/>
  <c r="H860" i="40"/>
  <c r="H827" i="40"/>
  <c r="H833" i="40"/>
  <c r="H1002" i="40" s="1"/>
  <c r="H839" i="40"/>
  <c r="H837" i="40"/>
  <c r="I1006" i="40" s="1"/>
  <c r="H719" i="40"/>
  <c r="H351" i="41"/>
  <c r="H318" i="41"/>
  <c r="H214" i="41"/>
  <c r="H851" i="40"/>
  <c r="H727" i="40"/>
  <c r="H896" i="40" s="1"/>
  <c r="H852" i="40"/>
  <c r="H819" i="40"/>
  <c r="H988" i="40" s="1"/>
  <c r="H825" i="40"/>
  <c r="H831" i="40"/>
  <c r="H1000" i="40" s="1"/>
  <c r="H829" i="40"/>
  <c r="H304" i="41"/>
  <c r="H863" i="40"/>
  <c r="H726" i="40"/>
  <c r="H895" i="40" s="1"/>
  <c r="H737" i="40"/>
  <c r="H866" i="40"/>
  <c r="H1035" i="40" s="1"/>
  <c r="H729" i="40"/>
  <c r="H862" i="40"/>
  <c r="H1031" i="40" s="1"/>
  <c r="H721" i="40"/>
  <c r="H345" i="41"/>
  <c r="H220" i="41"/>
  <c r="H855" i="40"/>
  <c r="H1024" i="40" s="1"/>
  <c r="H857" i="40"/>
  <c r="H844" i="40"/>
  <c r="H1013" i="40" s="1"/>
  <c r="H842" i="40"/>
  <c r="H856" i="40"/>
  <c r="H1025" i="40" s="1"/>
  <c r="H854" i="40"/>
  <c r="H725" i="40"/>
  <c r="H307" i="41"/>
  <c r="H212" i="41"/>
  <c r="H319" i="41"/>
  <c r="H845" i="40"/>
  <c r="H1014" i="40" s="1"/>
  <c r="H738" i="40"/>
  <c r="H836" i="40"/>
  <c r="H1005" i="40" s="1"/>
  <c r="H834" i="40"/>
  <c r="H848" i="40"/>
  <c r="H846" i="40"/>
  <c r="H731" i="40"/>
  <c r="H900" i="40" s="1"/>
  <c r="H329" i="41"/>
  <c r="H309" i="41"/>
  <c r="H222" i="41"/>
  <c r="H312" i="41"/>
  <c r="H193" i="41"/>
  <c r="H702" i="40"/>
  <c r="J39" i="23"/>
  <c r="J42" i="23" s="1"/>
  <c r="J48" i="23" s="1"/>
  <c r="J50" i="23" s="1"/>
  <c r="J54" i="23" s="1"/>
  <c r="H26" i="22" s="1"/>
  <c r="H33" i="22" s="1"/>
  <c r="I825" i="40"/>
  <c r="I821" i="40"/>
  <c r="H796" i="40"/>
  <c r="H965" i="40" s="1"/>
  <c r="H251" i="41"/>
  <c r="H818" i="40"/>
  <c r="H987" i="40" s="1"/>
  <c r="H864" i="40"/>
  <c r="H847" i="40"/>
  <c r="H838" i="40"/>
  <c r="H821" i="40"/>
  <c r="H735" i="40"/>
  <c r="H718" i="40"/>
  <c r="H887" i="40" s="1"/>
  <c r="H350" i="41"/>
  <c r="H352" i="41"/>
  <c r="H325" i="41"/>
  <c r="H343" i="41"/>
  <c r="H337" i="41"/>
  <c r="H301" i="41"/>
  <c r="H288" i="41"/>
  <c r="H310" i="41"/>
  <c r="H247" i="41"/>
  <c r="H216" i="41"/>
  <c r="H218" i="41"/>
  <c r="H206" i="41"/>
  <c r="H722" i="40"/>
  <c r="H765" i="40"/>
  <c r="H934" i="40" s="1"/>
  <c r="I775" i="40"/>
  <c r="H330" i="41"/>
  <c r="H344" i="41"/>
  <c r="H324" i="41"/>
  <c r="H335" i="41"/>
  <c r="H333" i="41"/>
  <c r="H282" i="41"/>
  <c r="H321" i="41"/>
  <c r="H302" i="41"/>
  <c r="H223" i="41"/>
  <c r="H213" i="41"/>
  <c r="H210" i="41"/>
  <c r="H219" i="41"/>
  <c r="H773" i="40"/>
  <c r="I767" i="40"/>
  <c r="H342" i="41"/>
  <c r="H336" i="41"/>
  <c r="H314" i="41"/>
  <c r="H313" i="41"/>
  <c r="H205" i="41"/>
  <c r="H208" i="41"/>
  <c r="H195" i="41"/>
  <c r="H211" i="41"/>
  <c r="H806" i="40"/>
  <c r="H975" i="40" s="1"/>
  <c r="H323" i="41"/>
  <c r="H828" i="40"/>
  <c r="H997" i="40" s="1"/>
  <c r="H858" i="40"/>
  <c r="H1027" i="40" s="1"/>
  <c r="H849" i="40"/>
  <c r="H1018" i="40" s="1"/>
  <c r="H840" i="40"/>
  <c r="H1009" i="40" s="1"/>
  <c r="H823" i="40"/>
  <c r="H861" i="40"/>
  <c r="H717" i="40"/>
  <c r="H886" i="40" s="1"/>
  <c r="H742" i="40"/>
  <c r="I778" i="40"/>
  <c r="H347" i="41"/>
  <c r="H328" i="41"/>
  <c r="H322" i="41"/>
  <c r="H348" i="41"/>
  <c r="H331" i="41"/>
  <c r="H204" i="41"/>
  <c r="H305" i="41"/>
  <c r="H225" i="41"/>
  <c r="H260" i="41"/>
  <c r="H262" i="41"/>
  <c r="H215" i="41"/>
  <c r="H203" i="41"/>
  <c r="H734" i="40"/>
  <c r="H781" i="40"/>
  <c r="H950" i="40" s="1"/>
  <c r="I209" i="41"/>
  <c r="I753" i="40"/>
  <c r="H332" i="41"/>
  <c r="I747" i="40"/>
  <c r="H820" i="40"/>
  <c r="H850" i="40"/>
  <c r="H841" i="40"/>
  <c r="H832" i="40"/>
  <c r="H733" i="40"/>
  <c r="H902" i="40" s="1"/>
  <c r="H853" i="40"/>
  <c r="H1022" i="40" s="1"/>
  <c r="H739" i="40"/>
  <c r="H908" i="40" s="1"/>
  <c r="H817" i="40"/>
  <c r="H986" i="40" s="1"/>
  <c r="H814" i="40"/>
  <c r="H339" i="41"/>
  <c r="H320" i="41"/>
  <c r="H346" i="41"/>
  <c r="H340" i="41"/>
  <c r="H315" i="41"/>
  <c r="H327" i="41"/>
  <c r="H298" i="41"/>
  <c r="H224" i="41"/>
  <c r="H229" i="41"/>
  <c r="H207" i="41"/>
  <c r="H779" i="40"/>
  <c r="H948" i="40" s="1"/>
  <c r="I789" i="40"/>
  <c r="H316" i="41"/>
  <c r="H349" i="41"/>
  <c r="H306" i="41"/>
  <c r="H353" i="41"/>
  <c r="H317" i="41"/>
  <c r="H311" i="41"/>
  <c r="H326" i="41"/>
  <c r="H227" i="41"/>
  <c r="H226" i="41"/>
  <c r="H221" i="41"/>
  <c r="H209" i="41"/>
  <c r="I723" i="40"/>
  <c r="H808" i="40"/>
  <c r="I850" i="40"/>
  <c r="H281" i="41"/>
  <c r="H272" i="41"/>
  <c r="H232" i="41"/>
  <c r="H290" i="41"/>
  <c r="H295" i="41"/>
  <c r="H239" i="41"/>
  <c r="H252" i="41"/>
  <c r="H241" i="41"/>
  <c r="H254" i="41"/>
  <c r="H243" i="41"/>
  <c r="H199" i="41"/>
  <c r="H712" i="40"/>
  <c r="H881" i="40" s="1"/>
  <c r="H809" i="40"/>
  <c r="H978" i="40" s="1"/>
  <c r="H767" i="40"/>
  <c r="H798" i="40"/>
  <c r="H769" i="40"/>
  <c r="H764" i="40"/>
  <c r="H933" i="40" s="1"/>
  <c r="H711" i="40"/>
  <c r="I305" i="41"/>
  <c r="I235" i="41"/>
  <c r="I262" i="41"/>
  <c r="I838" i="40"/>
  <c r="H780" i="40"/>
  <c r="H289" i="41"/>
  <c r="H280" i="41"/>
  <c r="H197" i="41"/>
  <c r="H264" i="41"/>
  <c r="H287" i="41"/>
  <c r="H277" i="41"/>
  <c r="H258" i="41"/>
  <c r="H244" i="41"/>
  <c r="H233" i="41"/>
  <c r="H246" i="41"/>
  <c r="H235" i="41"/>
  <c r="H800" i="40"/>
  <c r="H969" i="40" s="1"/>
  <c r="I845" i="40"/>
  <c r="H801" i="40"/>
  <c r="H970" i="40" s="1"/>
  <c r="H748" i="40"/>
  <c r="H790" i="40"/>
  <c r="H756" i="40"/>
  <c r="H747" i="40"/>
  <c r="H916" i="40" s="1"/>
  <c r="H745" i="40"/>
  <c r="I344" i="41"/>
  <c r="I295" i="41"/>
  <c r="I248" i="41"/>
  <c r="H279" i="41"/>
  <c r="H293" i="41"/>
  <c r="H255" i="41"/>
  <c r="H292" i="41"/>
  <c r="H269" i="41"/>
  <c r="H250" i="41"/>
  <c r="H236" i="41"/>
  <c r="H238" i="41"/>
  <c r="H200" i="41"/>
  <c r="H793" i="40"/>
  <c r="H799" i="40"/>
  <c r="H782" i="40"/>
  <c r="H951" i="40" s="1"/>
  <c r="H763" i="40"/>
  <c r="H932" i="40" s="1"/>
  <c r="H768" i="40"/>
  <c r="H937" i="40" s="1"/>
  <c r="H709" i="40"/>
  <c r="H878" i="40" s="1"/>
  <c r="I327" i="41"/>
  <c r="I307" i="41"/>
  <c r="I204" i="41"/>
  <c r="I844" i="40"/>
  <c r="H285" i="41"/>
  <c r="H759" i="40"/>
  <c r="H807" i="40"/>
  <c r="H976" i="40" s="1"/>
  <c r="I791" i="40"/>
  <c r="H271" i="41"/>
  <c r="H266" i="41"/>
  <c r="H286" i="41"/>
  <c r="H261" i="41"/>
  <c r="H242" i="41"/>
  <c r="H198" i="41"/>
  <c r="H283" i="41"/>
  <c r="H802" i="40"/>
  <c r="H971" i="40" s="1"/>
  <c r="H785" i="40"/>
  <c r="H954" i="40" s="1"/>
  <c r="H791" i="40"/>
  <c r="H755" i="40"/>
  <c r="H757" i="40"/>
  <c r="H760" i="40"/>
  <c r="H929" i="40" s="1"/>
  <c r="I313" i="41"/>
  <c r="I266" i="41"/>
  <c r="I203" i="41"/>
  <c r="H776" i="40"/>
  <c r="H945" i="40" s="1"/>
  <c r="I822" i="40"/>
  <c r="H751" i="40"/>
  <c r="H291" i="41"/>
  <c r="H263" i="41"/>
  <c r="H278" i="41"/>
  <c r="H253" i="41"/>
  <c r="H234" i="41"/>
  <c r="H284" i="41"/>
  <c r="H273" i="41"/>
  <c r="H275" i="41"/>
  <c r="H196" i="41"/>
  <c r="H805" i="40"/>
  <c r="H974" i="40" s="1"/>
  <c r="H804" i="40"/>
  <c r="H794" i="40"/>
  <c r="H963" i="40" s="1"/>
  <c r="H777" i="40"/>
  <c r="H946" i="40" s="1"/>
  <c r="H783" i="40"/>
  <c r="H952" i="40" s="1"/>
  <c r="H749" i="40"/>
  <c r="H918" i="40" s="1"/>
  <c r="H803" i="40"/>
  <c r="H752" i="40"/>
  <c r="I343" i="41"/>
  <c r="I263" i="41"/>
  <c r="I828" i="40"/>
  <c r="I806" i="40"/>
  <c r="H256" i="41"/>
  <c r="H274" i="41"/>
  <c r="H245" i="41"/>
  <c r="H276" i="41"/>
  <c r="H265" i="41"/>
  <c r="H267" i="41"/>
  <c r="H194" i="41"/>
  <c r="H189" i="41"/>
  <c r="I863" i="40"/>
  <c r="H786" i="40"/>
  <c r="H955" i="40" s="1"/>
  <c r="H772" i="40"/>
  <c r="H775" i="40"/>
  <c r="H797" i="40"/>
  <c r="H966" i="40" s="1"/>
  <c r="H795" i="40"/>
  <c r="H707" i="40"/>
  <c r="H876" i="40" s="1"/>
  <c r="I345" i="41"/>
  <c r="I244" i="41"/>
  <c r="H810" i="40"/>
  <c r="H784" i="40"/>
  <c r="H297" i="41"/>
  <c r="H294" i="41"/>
  <c r="H240" i="41"/>
  <c r="H296" i="41"/>
  <c r="H270" i="41"/>
  <c r="H237" i="41"/>
  <c r="H268" i="41"/>
  <c r="H257" i="41"/>
  <c r="H259" i="41"/>
  <c r="H788" i="40"/>
  <c r="H957" i="40" s="1"/>
  <c r="H708" i="40"/>
  <c r="H811" i="40"/>
  <c r="H980" i="40" s="1"/>
  <c r="H778" i="40"/>
  <c r="H753" i="40"/>
  <c r="H922" i="40" s="1"/>
  <c r="H761" i="40"/>
  <c r="H789" i="40"/>
  <c r="H787" i="40"/>
  <c r="I296" i="41"/>
  <c r="I249" i="41"/>
  <c r="K480" i="40"/>
  <c r="K649" i="40" s="1"/>
  <c r="J828" i="40"/>
  <c r="M152" i="37"/>
  <c r="N193" i="37"/>
  <c r="K415" i="40"/>
  <c r="K584" i="40" s="1"/>
  <c r="J763" i="40"/>
  <c r="K439" i="40"/>
  <c r="K608" i="40" s="1"/>
  <c r="J787" i="40"/>
  <c r="K454" i="40"/>
  <c r="K623" i="40" s="1"/>
  <c r="J802" i="40"/>
  <c r="L510" i="40"/>
  <c r="L679" i="40" s="1"/>
  <c r="K858" i="40"/>
  <c r="M117" i="37"/>
  <c r="M157" i="37"/>
  <c r="K446" i="40"/>
  <c r="K615" i="40" s="1"/>
  <c r="J794" i="40"/>
  <c r="K373" i="40"/>
  <c r="K542" i="40" s="1"/>
  <c r="J721" i="40"/>
  <c r="K442" i="40"/>
  <c r="K611" i="40" s="1"/>
  <c r="J790" i="40"/>
  <c r="K407" i="40"/>
  <c r="K576" i="40" s="1"/>
  <c r="J755" i="40"/>
  <c r="K511" i="40"/>
  <c r="K680" i="40" s="1"/>
  <c r="J859" i="40"/>
  <c r="J460" i="40"/>
  <c r="J629" i="40" s="1"/>
  <c r="I808" i="40"/>
  <c r="I977" i="40" s="1"/>
  <c r="K502" i="40"/>
  <c r="K671" i="40" s="1"/>
  <c r="J850" i="40"/>
  <c r="J1019" i="40" s="1"/>
  <c r="K453" i="40"/>
  <c r="J801" i="40"/>
  <c r="L404" i="40"/>
  <c r="L573" i="40" s="1"/>
  <c r="K752" i="40"/>
  <c r="L461" i="40"/>
  <c r="L630" i="40" s="1"/>
  <c r="K809" i="40"/>
  <c r="K978" i="40" s="1"/>
  <c r="E34" i="22"/>
  <c r="E42" i="22" s="1"/>
  <c r="K430" i="40"/>
  <c r="K599" i="40" s="1"/>
  <c r="J778" i="40"/>
  <c r="N117" i="37"/>
  <c r="N157" i="37"/>
  <c r="J432" i="40"/>
  <c r="J601" i="40" s="1"/>
  <c r="I780" i="40"/>
  <c r="L409" i="40"/>
  <c r="L578" i="40" s="1"/>
  <c r="K757" i="40"/>
  <c r="L433" i="40"/>
  <c r="L602" i="40" s="1"/>
  <c r="K781" i="40"/>
  <c r="K481" i="40"/>
  <c r="K650" i="40" s="1"/>
  <c r="J829" i="40"/>
  <c r="O193" i="37"/>
  <c r="N192" i="37"/>
  <c r="N152" i="37"/>
  <c r="K489" i="40"/>
  <c r="K658" i="40" s="1"/>
  <c r="J837" i="40"/>
  <c r="K496" i="40"/>
  <c r="K665" i="40" s="1"/>
  <c r="J844" i="40"/>
  <c r="J1013" i="40" s="1"/>
  <c r="K427" i="40"/>
  <c r="K596" i="40" s="1"/>
  <c r="J775" i="40"/>
  <c r="K435" i="40"/>
  <c r="K604" i="40" s="1"/>
  <c r="J783" i="40"/>
  <c r="L108" i="44"/>
  <c r="L116" i="44" s="1"/>
  <c r="L119" i="44" s="1"/>
  <c r="K108" i="44"/>
  <c r="K116" i="44" s="1"/>
  <c r="K119" i="44" s="1"/>
  <c r="M108" i="44"/>
  <c r="M116" i="44" s="1"/>
  <c r="M119" i="44" s="1"/>
  <c r="L517" i="40"/>
  <c r="L686" i="40" s="1"/>
  <c r="K865" i="40"/>
  <c r="J403" i="40"/>
  <c r="J572" i="40" s="1"/>
  <c r="I751" i="40"/>
  <c r="I920" i="40" s="1"/>
  <c r="J386" i="40"/>
  <c r="J555" i="40" s="1"/>
  <c r="I734" i="40"/>
  <c r="K483" i="40"/>
  <c r="K652" i="40" s="1"/>
  <c r="J831" i="40"/>
  <c r="H1026" i="40"/>
  <c r="H888" i="40"/>
  <c r="I62" i="16"/>
  <c r="I51" i="16" s="1"/>
  <c r="I64" i="16"/>
  <c r="I53" i="16" s="1"/>
  <c r="I66" i="16"/>
  <c r="I55" i="16" s="1"/>
  <c r="I68" i="16"/>
  <c r="I57" i="16" s="1"/>
  <c r="I61" i="16"/>
  <c r="I63" i="16"/>
  <c r="I52" i="16" s="1"/>
  <c r="I65" i="16"/>
  <c r="I54" i="16" s="1"/>
  <c r="I67" i="16"/>
  <c r="I56" i="16" s="1"/>
  <c r="J827" i="40"/>
  <c r="I234" i="36"/>
  <c r="I212" i="36"/>
  <c r="H925" i="40"/>
  <c r="J858" i="40"/>
  <c r="I547" i="40"/>
  <c r="H992" i="40"/>
  <c r="H1030" i="40"/>
  <c r="L513" i="40"/>
  <c r="L682" i="40" s="1"/>
  <c r="K861" i="40"/>
  <c r="K490" i="40"/>
  <c r="K659" i="40" s="1"/>
  <c r="J838" i="40"/>
  <c r="I741" i="40"/>
  <c r="I910" i="40" s="1"/>
  <c r="J765" i="40"/>
  <c r="J764" i="40"/>
  <c r="J761" i="40"/>
  <c r="I398" i="40"/>
  <c r="I567" i="40" s="1"/>
  <c r="H746" i="40"/>
  <c r="H37" i="37"/>
  <c r="H53" i="37"/>
  <c r="N39" i="37"/>
  <c r="H949" i="40"/>
  <c r="H977" i="40"/>
  <c r="I725" i="40"/>
  <c r="I376" i="40"/>
  <c r="I545" i="40" s="1"/>
  <c r="H724" i="40"/>
  <c r="H891" i="40"/>
  <c r="I125" i="36"/>
  <c r="I102" i="36"/>
  <c r="N107" i="16"/>
  <c r="N167" i="16"/>
  <c r="I787" i="40"/>
  <c r="I801" i="40"/>
  <c r="I837" i="40"/>
  <c r="I729" i="40"/>
  <c r="G61" i="16"/>
  <c r="G63" i="16"/>
  <c r="G52" i="16" s="1"/>
  <c r="G65" i="16"/>
  <c r="G54" i="16" s="1"/>
  <c r="G67" i="16"/>
  <c r="G56" i="16" s="1"/>
  <c r="G62" i="16"/>
  <c r="G51" i="16" s="1"/>
  <c r="G64" i="16"/>
  <c r="G53" i="16" s="1"/>
  <c r="G66" i="16"/>
  <c r="G55" i="16" s="1"/>
  <c r="G68" i="16"/>
  <c r="G57" i="16" s="1"/>
  <c r="J866" i="40"/>
  <c r="J684" i="40"/>
  <c r="H962" i="40"/>
  <c r="I962" i="40"/>
  <c r="H968" i="40"/>
  <c r="J749" i="40"/>
  <c r="I786" i="40"/>
  <c r="I336" i="41"/>
  <c r="I326" i="41"/>
  <c r="I309" i="41"/>
  <c r="I335" i="41"/>
  <c r="I337" i="41"/>
  <c r="I271" i="41"/>
  <c r="I332" i="41"/>
  <c r="I298" i="41"/>
  <c r="I287" i="41"/>
  <c r="I292" i="41"/>
  <c r="I258" i="41"/>
  <c r="I255" i="41"/>
  <c r="I236" i="41"/>
  <c r="I241" i="41"/>
  <c r="I254" i="41"/>
  <c r="I228" i="41"/>
  <c r="I240" i="41"/>
  <c r="I197" i="41"/>
  <c r="I196" i="41"/>
  <c r="L475" i="40"/>
  <c r="L644" i="40" s="1"/>
  <c r="K823" i="40"/>
  <c r="L412" i="40"/>
  <c r="L581" i="40" s="1"/>
  <c r="K760" i="40"/>
  <c r="K397" i="40"/>
  <c r="J745" i="40"/>
  <c r="H959" i="40"/>
  <c r="O100" i="16"/>
  <c r="O102" i="16" s="1"/>
  <c r="O103" i="16" s="1"/>
  <c r="O137" i="16"/>
  <c r="K477" i="40"/>
  <c r="K646" i="40" s="1"/>
  <c r="J825" i="40"/>
  <c r="H1019" i="40"/>
  <c r="I1019" i="40"/>
  <c r="H1001" i="40"/>
  <c r="J394" i="40"/>
  <c r="J563" i="40" s="1"/>
  <c r="I742" i="40"/>
  <c r="J462" i="40"/>
  <c r="J631" i="40" s="1"/>
  <c r="I810" i="40"/>
  <c r="K385" i="40"/>
  <c r="K554" i="40" s="1"/>
  <c r="J733" i="40"/>
  <c r="I846" i="40"/>
  <c r="I1015" i="40" s="1"/>
  <c r="L479" i="40"/>
  <c r="L648" i="40" s="1"/>
  <c r="K827" i="40"/>
  <c r="L499" i="40"/>
  <c r="L668" i="40" s="1"/>
  <c r="K847" i="40"/>
  <c r="I803" i="40"/>
  <c r="I717" i="40"/>
  <c r="H899" i="40"/>
  <c r="I388" i="40"/>
  <c r="I557" i="40" s="1"/>
  <c r="H736" i="40"/>
  <c r="O61" i="16"/>
  <c r="O63" i="16"/>
  <c r="O52" i="16" s="1"/>
  <c r="O65" i="16"/>
  <c r="O54" i="16" s="1"/>
  <c r="O67" i="16"/>
  <c r="O56" i="16" s="1"/>
  <c r="O62" i="16"/>
  <c r="O51" i="16" s="1"/>
  <c r="O64" i="16"/>
  <c r="O53" i="16" s="1"/>
  <c r="O66" i="16"/>
  <c r="O55" i="16" s="1"/>
  <c r="O68" i="16"/>
  <c r="O57" i="16" s="1"/>
  <c r="J440" i="40"/>
  <c r="J609" i="40" s="1"/>
  <c r="I788" i="40"/>
  <c r="J523" i="40"/>
  <c r="I702" i="40"/>
  <c r="J845" i="40"/>
  <c r="K497" i="40"/>
  <c r="G108" i="44"/>
  <c r="G116" i="44" s="1"/>
  <c r="G119" i="44" s="1"/>
  <c r="H108" i="44"/>
  <c r="H116" i="44" s="1"/>
  <c r="H119" i="44" s="1"/>
  <c r="M108" i="16"/>
  <c r="M109" i="16" s="1"/>
  <c r="L106" i="16"/>
  <c r="I779" i="40"/>
  <c r="I833" i="40"/>
  <c r="L518" i="40"/>
  <c r="L687" i="40" s="1"/>
  <c r="K866" i="40"/>
  <c r="I842" i="40"/>
  <c r="I790" i="40"/>
  <c r="H960" i="40"/>
  <c r="H924" i="40"/>
  <c r="H926" i="40"/>
  <c r="K450" i="40"/>
  <c r="K619" i="40" s="1"/>
  <c r="J798" i="40"/>
  <c r="K761" i="40"/>
  <c r="L88" i="37"/>
  <c r="L158" i="37" s="1"/>
  <c r="L92" i="37"/>
  <c r="L162" i="37" s="1"/>
  <c r="L96" i="37"/>
  <c r="L166" i="37" s="1"/>
  <c r="L100" i="37"/>
  <c r="L170" i="37" s="1"/>
  <c r="L105" i="37"/>
  <c r="L175" i="37" s="1"/>
  <c r="L113" i="37"/>
  <c r="L183" i="37" s="1"/>
  <c r="L89" i="37"/>
  <c r="L159" i="37" s="1"/>
  <c r="L93" i="37"/>
  <c r="L163" i="37" s="1"/>
  <c r="L97" i="37"/>
  <c r="L167" i="37" s="1"/>
  <c r="L102" i="37"/>
  <c r="L172" i="37" s="1"/>
  <c r="L106" i="37"/>
  <c r="L176" i="37" s="1"/>
  <c r="L110" i="37"/>
  <c r="L180" i="37" s="1"/>
  <c r="L114" i="37"/>
  <c r="L184" i="37" s="1"/>
  <c r="L90" i="37"/>
  <c r="L160" i="37" s="1"/>
  <c r="L98" i="37"/>
  <c r="L168" i="37" s="1"/>
  <c r="L103" i="37"/>
  <c r="L173" i="37" s="1"/>
  <c r="L107" i="37"/>
  <c r="L177" i="37" s="1"/>
  <c r="L111" i="37"/>
  <c r="L181" i="37" s="1"/>
  <c r="L115" i="37"/>
  <c r="L185" i="37" s="1"/>
  <c r="L87" i="37"/>
  <c r="L91" i="37"/>
  <c r="L161" i="37" s="1"/>
  <c r="L95" i="37"/>
  <c r="L165" i="37" s="1"/>
  <c r="L99" i="37"/>
  <c r="L169" i="37" s="1"/>
  <c r="L104" i="37"/>
  <c r="L174" i="37" s="1"/>
  <c r="L108" i="37"/>
  <c r="L178" i="37" s="1"/>
  <c r="L112" i="37"/>
  <c r="L182" i="37" s="1"/>
  <c r="L116" i="37"/>
  <c r="L151" i="37" s="1"/>
  <c r="L109" i="37"/>
  <c r="L179" i="37" s="1"/>
  <c r="K419" i="40"/>
  <c r="K588" i="40" s="1"/>
  <c r="J767" i="40"/>
  <c r="I347" i="41"/>
  <c r="I328" i="41"/>
  <c r="I325" i="41"/>
  <c r="I303" i="41"/>
  <c r="I348" i="41"/>
  <c r="I334" i="41"/>
  <c r="I314" i="41"/>
  <c r="I324" i="41"/>
  <c r="I290" i="41"/>
  <c r="I277" i="41"/>
  <c r="I286" i="41"/>
  <c r="I250" i="41"/>
  <c r="I247" i="41"/>
  <c r="I229" i="41"/>
  <c r="I233" i="41"/>
  <c r="I246" i="41"/>
  <c r="I221" i="41"/>
  <c r="I232" i="41"/>
  <c r="I190" i="41"/>
  <c r="I189" i="41"/>
  <c r="L449" i="40"/>
  <c r="L618" i="40" s="1"/>
  <c r="K797" i="40"/>
  <c r="J101" i="16"/>
  <c r="J157" i="16"/>
  <c r="K383" i="40"/>
  <c r="J731" i="40"/>
  <c r="K493" i="40"/>
  <c r="K662" i="40" s="1"/>
  <c r="J841" i="40"/>
  <c r="K361" i="40"/>
  <c r="J709" i="40"/>
  <c r="J444" i="40"/>
  <c r="J613" i="40" s="1"/>
  <c r="I792" i="40"/>
  <c r="I961" i="40" s="1"/>
  <c r="K424" i="40"/>
  <c r="K593" i="40" s="1"/>
  <c r="J772" i="40"/>
  <c r="H917" i="40"/>
  <c r="H914" i="40"/>
  <c r="K488" i="40"/>
  <c r="K657" i="40" s="1"/>
  <c r="J836" i="40"/>
  <c r="K107" i="16"/>
  <c r="K167" i="16"/>
  <c r="I426" i="40"/>
  <c r="I595" i="40" s="1"/>
  <c r="H774" i="40"/>
  <c r="I406" i="40"/>
  <c r="I575" i="40" s="1"/>
  <c r="H754" i="40"/>
  <c r="H989" i="40"/>
  <c r="H1010" i="40"/>
  <c r="J467" i="40"/>
  <c r="J636" i="40" s="1"/>
  <c r="I815" i="40"/>
  <c r="O37" i="37"/>
  <c r="O54" i="37"/>
  <c r="I859" i="40"/>
  <c r="I1028" i="40" s="1"/>
  <c r="J819" i="40"/>
  <c r="J459" i="40"/>
  <c r="J628" i="40" s="1"/>
  <c r="I807" i="40"/>
  <c r="I703" i="40"/>
  <c r="J484" i="40"/>
  <c r="J653" i="40" s="1"/>
  <c r="I832" i="40"/>
  <c r="H910" i="40"/>
  <c r="H1028" i="40"/>
  <c r="H1011" i="40"/>
  <c r="H993" i="40"/>
  <c r="J62" i="16"/>
  <c r="J51" i="16" s="1"/>
  <c r="J64" i="16"/>
  <c r="J53" i="16" s="1"/>
  <c r="J66" i="16"/>
  <c r="J55" i="16" s="1"/>
  <c r="J68" i="16"/>
  <c r="J57" i="16" s="1"/>
  <c r="J61" i="16"/>
  <c r="J63" i="16"/>
  <c r="J52" i="16" s="1"/>
  <c r="J65" i="16"/>
  <c r="J54" i="16" s="1"/>
  <c r="J67" i="16"/>
  <c r="J56" i="16" s="1"/>
  <c r="J107" i="16"/>
  <c r="J167" i="16"/>
  <c r="I785" i="40"/>
  <c r="I756" i="40"/>
  <c r="I773" i="40"/>
  <c r="I794" i="40"/>
  <c r="I362" i="40"/>
  <c r="H710" i="40"/>
  <c r="J37" i="37"/>
  <c r="J53" i="37"/>
  <c r="N82" i="37"/>
  <c r="J862" i="40"/>
  <c r="J667" i="40"/>
  <c r="J468" i="40"/>
  <c r="J637" i="40" s="1"/>
  <c r="I816" i="40"/>
  <c r="J627" i="40"/>
  <c r="I739" i="40"/>
  <c r="I713" i="40"/>
  <c r="N62" i="16"/>
  <c r="N51" i="16" s="1"/>
  <c r="N64" i="16"/>
  <c r="N53" i="16" s="1"/>
  <c r="N66" i="16"/>
  <c r="N55" i="16" s="1"/>
  <c r="N68" i="16"/>
  <c r="N57" i="16" s="1"/>
  <c r="N61" i="16"/>
  <c r="N63" i="16"/>
  <c r="N52" i="16" s="1"/>
  <c r="N65" i="16"/>
  <c r="N54" i="16" s="1"/>
  <c r="N67" i="16"/>
  <c r="N56" i="16" s="1"/>
  <c r="I543" i="40"/>
  <c r="N101" i="16"/>
  <c r="N102" i="16" s="1"/>
  <c r="N103" i="16" s="1"/>
  <c r="N157" i="16"/>
  <c r="I737" i="40"/>
  <c r="I906" i="40" s="1"/>
  <c r="I711" i="40"/>
  <c r="J108" i="44"/>
  <c r="J116" i="44" s="1"/>
  <c r="J119" i="44" s="1"/>
  <c r="I108" i="44"/>
  <c r="I116" i="44" s="1"/>
  <c r="I119" i="44" s="1"/>
  <c r="I402" i="40"/>
  <c r="I571" i="40" s="1"/>
  <c r="H750" i="40"/>
  <c r="J550" i="40"/>
  <c r="I840" i="40"/>
  <c r="J839" i="40"/>
  <c r="H972" i="40"/>
  <c r="H921" i="40"/>
  <c r="I820" i="40"/>
  <c r="I989" i="40" s="1"/>
  <c r="I802" i="40"/>
  <c r="J971" i="40" s="1"/>
  <c r="I319" i="41"/>
  <c r="I320" i="41"/>
  <c r="I322" i="41"/>
  <c r="I301" i="41"/>
  <c r="I340" i="41"/>
  <c r="I333" i="41"/>
  <c r="I306" i="41"/>
  <c r="I316" i="41"/>
  <c r="I260" i="41"/>
  <c r="I269" i="41"/>
  <c r="I245" i="41"/>
  <c r="I242" i="41"/>
  <c r="I239" i="41"/>
  <c r="I210" i="41"/>
  <c r="I226" i="41"/>
  <c r="I238" i="41"/>
  <c r="I217" i="41"/>
  <c r="I225" i="41"/>
  <c r="I194" i="41"/>
  <c r="I224" i="41"/>
  <c r="J777" i="40"/>
  <c r="H894" i="40"/>
  <c r="K421" i="40"/>
  <c r="K590" i="40" s="1"/>
  <c r="J769" i="40"/>
  <c r="I372" i="40"/>
  <c r="H720" i="40"/>
  <c r="H1012" i="40"/>
  <c r="L514" i="40"/>
  <c r="L683" i="40" s="1"/>
  <c r="K862" i="40"/>
  <c r="H940" i="40"/>
  <c r="I818" i="40"/>
  <c r="I834" i="40"/>
  <c r="K377" i="40"/>
  <c r="K546" i="40"/>
  <c r="J725" i="40"/>
  <c r="J370" i="40"/>
  <c r="J539" i="40" s="1"/>
  <c r="I718" i="40"/>
  <c r="J27" i="10"/>
  <c r="I28" i="10"/>
  <c r="O107" i="16"/>
  <c r="O108" i="16" s="1"/>
  <c r="O109" i="16" s="1"/>
  <c r="H1020" i="40"/>
  <c r="K455" i="40"/>
  <c r="K624" i="40" s="1"/>
  <c r="J803" i="40"/>
  <c r="J448" i="40"/>
  <c r="J617" i="40" s="1"/>
  <c r="I796" i="40"/>
  <c r="H877" i="40"/>
  <c r="I102" i="16"/>
  <c r="I103" i="16" s="1"/>
  <c r="N106" i="16"/>
  <c r="N108" i="16" s="1"/>
  <c r="N109" i="16" s="1"/>
  <c r="N147" i="16"/>
  <c r="I853" i="40"/>
  <c r="J463" i="40"/>
  <c r="J632" i="40" s="1"/>
  <c r="I811" i="40"/>
  <c r="J364" i="40"/>
  <c r="J533" i="40" s="1"/>
  <c r="I712" i="40"/>
  <c r="K101" i="16"/>
  <c r="K157" i="16"/>
  <c r="K431" i="40"/>
  <c r="K600" i="40" s="1"/>
  <c r="J779" i="40"/>
  <c r="K485" i="40"/>
  <c r="K654" i="40" s="1"/>
  <c r="J833" i="40"/>
  <c r="I414" i="40"/>
  <c r="I583" i="40" s="1"/>
  <c r="H762" i="40"/>
  <c r="J108" i="16"/>
  <c r="J109" i="16" s="1"/>
  <c r="I864" i="40"/>
  <c r="I1033" i="40" s="1"/>
  <c r="K492" i="40"/>
  <c r="K661" i="40" s="1"/>
  <c r="J840" i="40"/>
  <c r="L491" i="40"/>
  <c r="L660" i="40" s="1"/>
  <c r="K839" i="40"/>
  <c r="K494" i="40"/>
  <c r="K663" i="40" s="1"/>
  <c r="J842" i="40"/>
  <c r="H941" i="40"/>
  <c r="H944" i="40"/>
  <c r="I944" i="40"/>
  <c r="H964" i="40"/>
  <c r="J835" i="40"/>
  <c r="L401" i="40"/>
  <c r="L570" i="40" s="1"/>
  <c r="K749" i="40"/>
  <c r="J781" i="40"/>
  <c r="K438" i="40"/>
  <c r="J786" i="40"/>
  <c r="I339" i="41"/>
  <c r="I312" i="41"/>
  <c r="I321" i="41"/>
  <c r="I283" i="41"/>
  <c r="I304" i="41"/>
  <c r="I294" i="41"/>
  <c r="I291" i="41"/>
  <c r="I308" i="41"/>
  <c r="I253" i="41"/>
  <c r="I218" i="41"/>
  <c r="I297" i="41"/>
  <c r="I234" i="41"/>
  <c r="I223" i="41"/>
  <c r="I281" i="41"/>
  <c r="I222" i="41"/>
  <c r="I267" i="41"/>
  <c r="I280" i="41"/>
  <c r="I215" i="41"/>
  <c r="I214" i="41"/>
  <c r="I216" i="41"/>
  <c r="K512" i="40"/>
  <c r="K681" i="40" s="1"/>
  <c r="J860" i="40"/>
  <c r="J1029" i="40" s="1"/>
  <c r="J390" i="40"/>
  <c r="J559" i="40" s="1"/>
  <c r="I738" i="40"/>
  <c r="H61" i="16"/>
  <c r="H63" i="16"/>
  <c r="H52" i="16" s="1"/>
  <c r="H65" i="16"/>
  <c r="H54" i="16" s="1"/>
  <c r="H67" i="16"/>
  <c r="H56" i="16" s="1"/>
  <c r="H62" i="16"/>
  <c r="H51" i="16" s="1"/>
  <c r="H64" i="16"/>
  <c r="H53" i="16" s="1"/>
  <c r="H66" i="16"/>
  <c r="H55" i="16" s="1"/>
  <c r="H68" i="16"/>
  <c r="H57" i="16" s="1"/>
  <c r="K106" i="16"/>
  <c r="K108" i="16" s="1"/>
  <c r="K109" i="16" s="1"/>
  <c r="K147" i="16"/>
  <c r="H928" i="40"/>
  <c r="K35" i="10"/>
  <c r="H1003" i="40"/>
  <c r="I892" i="40"/>
  <c r="H892" i="40"/>
  <c r="H907" i="40"/>
  <c r="J574" i="40"/>
  <c r="H898" i="40"/>
  <c r="L61" i="16"/>
  <c r="L63" i="16"/>
  <c r="L52" i="16" s="1"/>
  <c r="L65" i="16"/>
  <c r="L54" i="16" s="1"/>
  <c r="L67" i="16"/>
  <c r="L56" i="16" s="1"/>
  <c r="L62" i="16"/>
  <c r="L51" i="16" s="1"/>
  <c r="L64" i="16"/>
  <c r="L53" i="16" s="1"/>
  <c r="L66" i="16"/>
  <c r="L55" i="16" s="1"/>
  <c r="L68" i="16"/>
  <c r="L57" i="16" s="1"/>
  <c r="K100" i="16"/>
  <c r="K102" i="16" s="1"/>
  <c r="K103" i="16" s="1"/>
  <c r="K137" i="16"/>
  <c r="K408" i="40"/>
  <c r="K577" i="40" s="1"/>
  <c r="J756" i="40"/>
  <c r="G37" i="37"/>
  <c r="K486" i="40"/>
  <c r="K655" i="40" s="1"/>
  <c r="J834" i="40"/>
  <c r="H953" i="40"/>
  <c r="I719" i="40"/>
  <c r="I888" i="40" s="1"/>
  <c r="I761" i="40"/>
  <c r="J930" i="40" s="1"/>
  <c r="I707" i="40"/>
  <c r="I752" i="40"/>
  <c r="I921" i="40" s="1"/>
  <c r="I765" i="40"/>
  <c r="I764" i="40"/>
  <c r="I757" i="40"/>
  <c r="I781" i="40"/>
  <c r="I797" i="40"/>
  <c r="I966" i="40" s="1"/>
  <c r="I749" i="40"/>
  <c r="I760" i="40"/>
  <c r="I777" i="40"/>
  <c r="I809" i="40"/>
  <c r="J978" i="40" s="1"/>
  <c r="J843" i="40"/>
  <c r="I848" i="40"/>
  <c r="I1017" i="40" s="1"/>
  <c r="J538" i="40"/>
  <c r="I551" i="40"/>
  <c r="K391" i="40"/>
  <c r="K560" i="40" s="1"/>
  <c r="J739" i="40"/>
  <c r="K365" i="40"/>
  <c r="K534" i="40" s="1"/>
  <c r="J713" i="40"/>
  <c r="K37" i="37"/>
  <c r="K52" i="37"/>
  <c r="I830" i="40"/>
  <c r="I999" i="40" s="1"/>
  <c r="H973" i="40"/>
  <c r="I799" i="40"/>
  <c r="I968" i="40" s="1"/>
  <c r="K389" i="40"/>
  <c r="K558" i="40" s="1"/>
  <c r="J737" i="40"/>
  <c r="K363" i="40"/>
  <c r="J711" i="40"/>
  <c r="I795" i="40"/>
  <c r="I852" i="40"/>
  <c r="I1021" i="40" s="1"/>
  <c r="N42" i="23"/>
  <c r="N48" i="23" s="1"/>
  <c r="N50" i="23" s="1"/>
  <c r="N54" i="23" s="1"/>
  <c r="L26" i="22" s="1"/>
  <c r="L33" i="22" s="1"/>
  <c r="O33" i="22" s="1"/>
  <c r="K516" i="40"/>
  <c r="K685" i="40" s="1"/>
  <c r="J864" i="40"/>
  <c r="H947" i="40"/>
  <c r="H930" i="40"/>
  <c r="H958" i="40"/>
  <c r="I958" i="40"/>
  <c r="H956" i="40"/>
  <c r="I956" i="40"/>
  <c r="H882" i="40"/>
  <c r="K472" i="40"/>
  <c r="K641" i="40" s="1"/>
  <c r="J820" i="40"/>
  <c r="L82" i="37"/>
  <c r="I329" i="41"/>
  <c r="I284" i="41"/>
  <c r="I346" i="41"/>
  <c r="I279" i="41"/>
  <c r="I282" i="41"/>
  <c r="I350" i="41"/>
  <c r="I275" i="41"/>
  <c r="I293" i="41"/>
  <c r="I318" i="41"/>
  <c r="I331" i="41"/>
  <c r="I289" i="41"/>
  <c r="I227" i="41"/>
  <c r="I205" i="41"/>
  <c r="I273" i="41"/>
  <c r="I213" i="41"/>
  <c r="I259" i="41"/>
  <c r="I272" i="41"/>
  <c r="I207" i="41"/>
  <c r="I206" i="41"/>
  <c r="I208" i="41"/>
  <c r="K445" i="40"/>
  <c r="J793" i="40"/>
  <c r="J962" i="40" s="1"/>
  <c r="J507" i="40"/>
  <c r="J676" i="40" s="1"/>
  <c r="I855" i="40"/>
  <c r="K399" i="40"/>
  <c r="K568" i="40" s="1"/>
  <c r="J747" i="40"/>
  <c r="H1017" i="40"/>
  <c r="K506" i="40"/>
  <c r="K675" i="40" s="1"/>
  <c r="J854" i="40"/>
  <c r="M39" i="37"/>
  <c r="J847" i="40"/>
  <c r="K1016" i="40" s="1"/>
  <c r="I422" i="40"/>
  <c r="I591" i="40" s="1"/>
  <c r="H770" i="40"/>
  <c r="N13" i="10"/>
  <c r="K524" i="40"/>
  <c r="J703" i="40"/>
  <c r="H1029" i="40"/>
  <c r="I1029" i="40"/>
  <c r="H985" i="40"/>
  <c r="J428" i="40"/>
  <c r="J597" i="40" s="1"/>
  <c r="I776" i="40"/>
  <c r="K393" i="40"/>
  <c r="K562" i="40" s="1"/>
  <c r="J741" i="40"/>
  <c r="L471" i="40"/>
  <c r="L640" i="40" s="1"/>
  <c r="K819" i="40"/>
  <c r="I418" i="40"/>
  <c r="H766" i="40"/>
  <c r="K501" i="40"/>
  <c r="K670" i="40" s="1"/>
  <c r="J849" i="40"/>
  <c r="I861" i="40"/>
  <c r="I862" i="40"/>
  <c r="I823" i="40"/>
  <c r="I992" i="40" s="1"/>
  <c r="I839" i="40"/>
  <c r="I847" i="40"/>
  <c r="I1016" i="40" s="1"/>
  <c r="I849" i="40"/>
  <c r="I857" i="40"/>
  <c r="I1026" i="40" s="1"/>
  <c r="I865" i="40"/>
  <c r="J1034" i="40" s="1"/>
  <c r="I858" i="40"/>
  <c r="J1027" i="40" s="1"/>
  <c r="I866" i="40"/>
  <c r="I819" i="40"/>
  <c r="I988" i="40" s="1"/>
  <c r="I827" i="40"/>
  <c r="I835" i="40"/>
  <c r="I1004" i="40" s="1"/>
  <c r="I843" i="40"/>
  <c r="I1012" i="40" s="1"/>
  <c r="H1004" i="40"/>
  <c r="H1015" i="40"/>
  <c r="H872" i="40"/>
  <c r="I727" i="40"/>
  <c r="M62" i="16"/>
  <c r="M51" i="16" s="1"/>
  <c r="M64" i="16"/>
  <c r="M53" i="16" s="1"/>
  <c r="M66" i="16"/>
  <c r="M55" i="16" s="1"/>
  <c r="M68" i="16"/>
  <c r="M57" i="16" s="1"/>
  <c r="M61" i="16"/>
  <c r="M63" i="16"/>
  <c r="M52" i="16" s="1"/>
  <c r="M65" i="16"/>
  <c r="M54" i="16" s="1"/>
  <c r="M67" i="16"/>
  <c r="M56" i="16" s="1"/>
  <c r="I731" i="40"/>
  <c r="J900" i="40" s="1"/>
  <c r="H1016" i="40"/>
  <c r="H904" i="40"/>
  <c r="J861" i="40"/>
  <c r="K1030" i="40" s="1"/>
  <c r="K474" i="40"/>
  <c r="K643" i="40" s="1"/>
  <c r="J822" i="40"/>
  <c r="J991" i="40" s="1"/>
  <c r="K473" i="40"/>
  <c r="K642" i="40" s="1"/>
  <c r="J821" i="40"/>
  <c r="J857" i="40"/>
  <c r="I841" i="40"/>
  <c r="J594" i="40"/>
  <c r="I384" i="40"/>
  <c r="I553" i="40" s="1"/>
  <c r="H732" i="40"/>
  <c r="K375" i="40"/>
  <c r="K544" i="40" s="1"/>
  <c r="J723" i="40"/>
  <c r="J892" i="40" s="1"/>
  <c r="I721" i="40"/>
  <c r="J890" i="40" s="1"/>
  <c r="L107" i="16"/>
  <c r="J823" i="40"/>
  <c r="J423" i="40"/>
  <c r="J592" i="40" s="1"/>
  <c r="I771" i="40"/>
  <c r="I940" i="40" s="1"/>
  <c r="J760" i="40"/>
  <c r="K929" i="40" s="1"/>
  <c r="I735" i="40"/>
  <c r="I904" i="40" s="1"/>
  <c r="J102" i="16"/>
  <c r="J103" i="16" s="1"/>
  <c r="L495" i="40"/>
  <c r="L664" i="40" s="1"/>
  <c r="K843" i="40"/>
  <c r="J669" i="40"/>
  <c r="I769" i="40"/>
  <c r="J757" i="40"/>
  <c r="K926" i="40" s="1"/>
  <c r="J452" i="40"/>
  <c r="J621" i="40" s="1"/>
  <c r="I800" i="40"/>
  <c r="J457" i="40"/>
  <c r="J626" i="40" s="1"/>
  <c r="I805" i="40"/>
  <c r="J651" i="40"/>
  <c r="I768" i="40"/>
  <c r="H903" i="40"/>
  <c r="I903" i="40"/>
  <c r="I709" i="40"/>
  <c r="H961" i="40"/>
  <c r="H716" i="40"/>
  <c r="I368" i="40"/>
  <c r="I108" i="16"/>
  <c r="I109" i="16" s="1"/>
  <c r="I772" i="40"/>
  <c r="I826" i="40"/>
  <c r="I995" i="40" s="1"/>
  <c r="I745" i="40"/>
  <c r="I914" i="40" s="1"/>
  <c r="H942" i="40"/>
  <c r="I942" i="40"/>
  <c r="H871" i="40"/>
  <c r="I871" i="40"/>
  <c r="L487" i="40"/>
  <c r="L656" i="40" s="1"/>
  <c r="K835" i="40"/>
  <c r="I836" i="40"/>
  <c r="I1005" i="40" s="1"/>
  <c r="J677" i="40"/>
  <c r="I311" i="41"/>
  <c r="I349" i="41"/>
  <c r="I338" i="41"/>
  <c r="I237" i="41"/>
  <c r="I261" i="41"/>
  <c r="I342" i="41"/>
  <c r="I220" i="41"/>
  <c r="I276" i="41"/>
  <c r="I310" i="41"/>
  <c r="I323" i="41"/>
  <c r="I285" i="41"/>
  <c r="I219" i="41"/>
  <c r="I198" i="41"/>
  <c r="I265" i="41"/>
  <c r="I278" i="41"/>
  <c r="I251" i="41"/>
  <c r="I264" i="41"/>
  <c r="I200" i="41"/>
  <c r="I199" i="41"/>
  <c r="I193" i="41"/>
  <c r="K598" i="40"/>
  <c r="J434" i="40"/>
  <c r="J603" i="40" s="1"/>
  <c r="I782" i="40"/>
  <c r="I392" i="40"/>
  <c r="I561" i="40" s="1"/>
  <c r="H740" i="40"/>
  <c r="H994" i="40"/>
  <c r="I994" i="40"/>
  <c r="H1023" i="40"/>
  <c r="H983" i="40"/>
  <c r="H1021" i="40"/>
  <c r="H995" i="40"/>
  <c r="H1032" i="40"/>
  <c r="H998" i="40"/>
  <c r="I638" i="40"/>
  <c r="K437" i="40"/>
  <c r="K606" i="40" s="1"/>
  <c r="J785" i="40"/>
  <c r="J476" i="40"/>
  <c r="J645" i="40" s="1"/>
  <c r="I824" i="40"/>
  <c r="K441" i="40"/>
  <c r="K610" i="40" s="1"/>
  <c r="J789" i="40"/>
  <c r="J958" i="40" s="1"/>
  <c r="K61" i="16"/>
  <c r="K63" i="16"/>
  <c r="K52" i="16" s="1"/>
  <c r="K65" i="16"/>
  <c r="K54" i="16" s="1"/>
  <c r="K67" i="16"/>
  <c r="K56" i="16" s="1"/>
  <c r="K62" i="16"/>
  <c r="K51" i="16" s="1"/>
  <c r="K64" i="16"/>
  <c r="K53" i="16" s="1"/>
  <c r="K66" i="16"/>
  <c r="K55" i="16" s="1"/>
  <c r="K68" i="16"/>
  <c r="K57" i="16" s="1"/>
  <c r="H906" i="40"/>
  <c r="H996" i="40"/>
  <c r="H1033" i="40"/>
  <c r="H1007" i="40"/>
  <c r="I1007" i="40"/>
  <c r="H990" i="40"/>
  <c r="H108" i="16"/>
  <c r="H109" i="16" s="1"/>
  <c r="I358" i="40"/>
  <c r="I527" i="40" s="1"/>
  <c r="H689" i="40"/>
  <c r="H706" i="40"/>
  <c r="L100" i="16"/>
  <c r="L102" i="16" s="1"/>
  <c r="L103" i="16" s="1"/>
  <c r="L137" i="16"/>
  <c r="I831" i="40"/>
  <c r="J1000" i="40" s="1"/>
  <c r="I580" i="40"/>
  <c r="I829" i="40"/>
  <c r="H1034" i="40"/>
  <c r="H1008" i="40"/>
  <c r="I1008" i="40"/>
  <c r="H999" i="40"/>
  <c r="H890" i="40"/>
  <c r="I854" i="40"/>
  <c r="I635" i="40"/>
  <c r="H911" i="40"/>
  <c r="J548" i="40"/>
  <c r="M82" i="37"/>
  <c r="H979" i="40"/>
  <c r="I979" i="40"/>
  <c r="I763" i="40"/>
  <c r="J932" i="40" s="1"/>
  <c r="I733" i="40"/>
  <c r="I902" i="40" s="1"/>
  <c r="J639" i="40"/>
  <c r="J612" i="40"/>
  <c r="I605" i="40"/>
  <c r="J556" i="40"/>
  <c r="J540" i="40"/>
  <c r="I672" i="40"/>
  <c r="I410" i="40"/>
  <c r="I579" i="40" s="1"/>
  <c r="H758" i="40"/>
  <c r="H920" i="40"/>
  <c r="I529" i="40"/>
  <c r="H102" i="16"/>
  <c r="H103" i="16" s="1"/>
  <c r="J674" i="40"/>
  <c r="J589" i="40"/>
  <c r="I625" i="40"/>
  <c r="J620" i="40"/>
  <c r="J616" i="40"/>
  <c r="J673" i="40"/>
  <c r="I783" i="40"/>
  <c r="J952" i="40" s="1"/>
  <c r="J400" i="40"/>
  <c r="J569" i="40" s="1"/>
  <c r="I748" i="40"/>
  <c r="I380" i="40"/>
  <c r="H728" i="40"/>
  <c r="J647" i="40"/>
  <c r="H936" i="40"/>
  <c r="I936" i="40"/>
  <c r="H967" i="40"/>
  <c r="H938" i="40"/>
  <c r="I938" i="40"/>
  <c r="H880" i="40"/>
  <c r="I880" i="40"/>
  <c r="I798" i="40"/>
  <c r="I755" i="40"/>
  <c r="J752" i="40"/>
  <c r="I856" i="40"/>
  <c r="I352" i="41"/>
  <c r="I341" i="41"/>
  <c r="I317" i="41"/>
  <c r="I351" i="41"/>
  <c r="I353" i="41"/>
  <c r="I330" i="41"/>
  <c r="I288" i="41"/>
  <c r="I268" i="41"/>
  <c r="I302" i="41"/>
  <c r="I315" i="41"/>
  <c r="I274" i="41"/>
  <c r="I195" i="41"/>
  <c r="I252" i="41"/>
  <c r="I257" i="41"/>
  <c r="I270" i="41"/>
  <c r="I243" i="41"/>
  <c r="I256" i="41"/>
  <c r="I212" i="41"/>
  <c r="I211" i="41"/>
  <c r="J797" i="40"/>
  <c r="K966" i="40" s="1"/>
  <c r="H1006" i="40" l="1"/>
  <c r="J941" i="40"/>
  <c r="I937" i="40"/>
  <c r="J1010" i="40"/>
  <c r="J996" i="40"/>
  <c r="J1008" i="40"/>
  <c r="I947" i="40"/>
  <c r="I1014" i="40"/>
  <c r="I997" i="40"/>
  <c r="I1035" i="40"/>
  <c r="I984" i="40"/>
  <c r="I965" i="40"/>
  <c r="J1006" i="40"/>
  <c r="K921" i="40"/>
  <c r="I1013" i="40"/>
  <c r="I976" i="40"/>
  <c r="I980" i="40"/>
  <c r="J997" i="40"/>
  <c r="I1032" i="40"/>
  <c r="K1027" i="40"/>
  <c r="I990" i="40"/>
  <c r="I949" i="40"/>
  <c r="J1028" i="40"/>
  <c r="I957" i="40"/>
  <c r="M413" i="40"/>
  <c r="M582" i="40" s="1"/>
  <c r="N413" i="40" s="1"/>
  <c r="N582" i="40" s="1"/>
  <c r="L761" i="40"/>
  <c r="K359" i="40"/>
  <c r="K528" i="40" s="1"/>
  <c r="L359" i="40" s="1"/>
  <c r="L528" i="40" s="1"/>
  <c r="M359" i="40" s="1"/>
  <c r="M528" i="40" s="1"/>
  <c r="J707" i="40"/>
  <c r="J876" i="40" s="1"/>
  <c r="K857" i="40"/>
  <c r="L509" i="40"/>
  <c r="L678" i="40" s="1"/>
  <c r="M509" i="40" s="1"/>
  <c r="M678" i="40" s="1"/>
  <c r="I1024" i="40"/>
  <c r="I991" i="40"/>
  <c r="J994" i="40"/>
  <c r="I1001" i="40"/>
  <c r="I916" i="40"/>
  <c r="I896" i="40"/>
  <c r="I951" i="40"/>
  <c r="I975" i="40"/>
  <c r="I948" i="40"/>
  <c r="J944" i="40"/>
  <c r="L416" i="40"/>
  <c r="L585" i="40" s="1"/>
  <c r="K764" i="40"/>
  <c r="K933" i="40" s="1"/>
  <c r="L417" i="40"/>
  <c r="L586" i="40" s="1"/>
  <c r="I955" i="40"/>
  <c r="J950" i="40"/>
  <c r="J1023" i="40"/>
  <c r="J1031" i="40"/>
  <c r="J959" i="40"/>
  <c r="I1025" i="40"/>
  <c r="I996" i="40"/>
  <c r="J916" i="40"/>
  <c r="I970" i="40"/>
  <c r="I1018" i="40"/>
  <c r="J934" i="40"/>
  <c r="K950" i="40"/>
  <c r="I960" i="40"/>
  <c r="I886" i="40"/>
  <c r="I890" i="40"/>
  <c r="J933" i="40"/>
  <c r="J1014" i="40"/>
  <c r="J988" i="40"/>
  <c r="J946" i="40"/>
  <c r="I952" i="40"/>
  <c r="J956" i="40"/>
  <c r="I878" i="40"/>
  <c r="I930" i="40"/>
  <c r="I908" i="40"/>
  <c r="I978" i="40"/>
  <c r="K1026" i="40"/>
  <c r="J1030" i="40"/>
  <c r="I941" i="40"/>
  <c r="J882" i="40"/>
  <c r="K918" i="40"/>
  <c r="I922" i="40"/>
  <c r="K1004" i="40"/>
  <c r="J972" i="40"/>
  <c r="I876" i="40"/>
  <c r="J1003" i="40"/>
  <c r="I1000" i="40"/>
  <c r="J938" i="40"/>
  <c r="I945" i="40"/>
  <c r="J924" i="40"/>
  <c r="J998" i="40"/>
  <c r="K992" i="40"/>
  <c r="J1016" i="40"/>
  <c r="J1009" i="40"/>
  <c r="J963" i="40"/>
  <c r="I1010" i="40"/>
  <c r="K1035" i="40"/>
  <c r="J894" i="40"/>
  <c r="J967" i="40"/>
  <c r="I934" i="40"/>
  <c r="J926" i="40"/>
  <c r="I1031" i="40"/>
  <c r="K1012" i="40"/>
  <c r="L393" i="40"/>
  <c r="L562" i="40" s="1"/>
  <c r="K741" i="40"/>
  <c r="K910" i="40" s="1"/>
  <c r="L391" i="40"/>
  <c r="K739" i="40"/>
  <c r="K908" i="40" s="1"/>
  <c r="K467" i="40"/>
  <c r="J815" i="40"/>
  <c r="J984" i="40" s="1"/>
  <c r="H30" i="10"/>
  <c r="H32" i="10" s="1"/>
  <c r="H16" i="10"/>
  <c r="H18" i="10" s="1"/>
  <c r="K423" i="40"/>
  <c r="K592" i="40" s="1"/>
  <c r="J771" i="40"/>
  <c r="L485" i="40"/>
  <c r="L654" i="40" s="1"/>
  <c r="K833" i="40"/>
  <c r="K1002" i="40" s="1"/>
  <c r="L483" i="40"/>
  <c r="K831" i="40"/>
  <c r="L707" i="40"/>
  <c r="L435" i="40"/>
  <c r="K783" i="40"/>
  <c r="K952" i="40" s="1"/>
  <c r="M433" i="40"/>
  <c r="M602" i="40" s="1"/>
  <c r="L781" i="40"/>
  <c r="L441" i="40"/>
  <c r="K789" i="40"/>
  <c r="M409" i="40"/>
  <c r="M578" i="40" s="1"/>
  <c r="L757" i="40"/>
  <c r="L926" i="40" s="1"/>
  <c r="M495" i="40"/>
  <c r="M664" i="40" s="1"/>
  <c r="L843" i="40"/>
  <c r="L486" i="40"/>
  <c r="L655" i="40" s="1"/>
  <c r="K834" i="40"/>
  <c r="K1003" i="40" s="1"/>
  <c r="M517" i="40"/>
  <c r="L865" i="40"/>
  <c r="L1034" i="40" s="1"/>
  <c r="L373" i="40"/>
  <c r="L542" i="40" s="1"/>
  <c r="K721" i="40"/>
  <c r="K890" i="40" s="1"/>
  <c r="L474" i="40"/>
  <c r="K822" i="40"/>
  <c r="L431" i="40"/>
  <c r="L600" i="40" s="1"/>
  <c r="K779" i="40"/>
  <c r="M513" i="40"/>
  <c r="M682" i="40" s="1"/>
  <c r="L861" i="40"/>
  <c r="L1030" i="40" s="1"/>
  <c r="L455" i="40"/>
  <c r="L624" i="40" s="1"/>
  <c r="K803" i="40"/>
  <c r="K972" i="40" s="1"/>
  <c r="M510" i="40"/>
  <c r="M679" i="40" s="1"/>
  <c r="L858" i="40"/>
  <c r="L450" i="40"/>
  <c r="L619" i="40" s="1"/>
  <c r="K798" i="40"/>
  <c r="K967" i="40" s="1"/>
  <c r="L496" i="40"/>
  <c r="L665" i="40" s="1"/>
  <c r="K844" i="40"/>
  <c r="K1013" i="40" s="1"/>
  <c r="L502" i="40"/>
  <c r="L671" i="40" s="1"/>
  <c r="K850" i="40"/>
  <c r="L446" i="40"/>
  <c r="L615" i="40" s="1"/>
  <c r="K794" i="40"/>
  <c r="K963" i="40" s="1"/>
  <c r="K468" i="40"/>
  <c r="K637" i="40" s="1"/>
  <c r="J816" i="40"/>
  <c r="J985" i="40" s="1"/>
  <c r="J398" i="40"/>
  <c r="J567" i="40" s="1"/>
  <c r="I746" i="40"/>
  <c r="I915" i="40" s="1"/>
  <c r="L415" i="40"/>
  <c r="L584" i="40" s="1"/>
  <c r="K763" i="40"/>
  <c r="K932" i="40" s="1"/>
  <c r="L437" i="40"/>
  <c r="L606" i="40" s="1"/>
  <c r="K785" i="40"/>
  <c r="K954" i="40" s="1"/>
  <c r="L408" i="40"/>
  <c r="K756" i="40"/>
  <c r="K925" i="40" s="1"/>
  <c r="K364" i="40"/>
  <c r="J712" i="40"/>
  <c r="J881" i="40" s="1"/>
  <c r="L419" i="40"/>
  <c r="L588" i="40" s="1"/>
  <c r="K767" i="40"/>
  <c r="K936" i="40" s="1"/>
  <c r="M16" i="10"/>
  <c r="M18" i="10" s="1"/>
  <c r="M30" i="10"/>
  <c r="K379" i="40"/>
  <c r="K548" i="40" s="1"/>
  <c r="J727" i="40"/>
  <c r="J896" i="40" s="1"/>
  <c r="K387" i="40"/>
  <c r="K556" i="40" s="1"/>
  <c r="J735" i="40"/>
  <c r="H909" i="40"/>
  <c r="K370" i="40"/>
  <c r="K539" i="40" s="1"/>
  <c r="J718" i="40"/>
  <c r="K394" i="40"/>
  <c r="K563" i="40" s="1"/>
  <c r="J742" i="40"/>
  <c r="J410" i="40"/>
  <c r="J579" i="40" s="1"/>
  <c r="I758" i="40"/>
  <c r="H905" i="40"/>
  <c r="M479" i="40"/>
  <c r="M648" i="40" s="1"/>
  <c r="L827" i="40"/>
  <c r="K566" i="40"/>
  <c r="J376" i="40"/>
  <c r="J545" i="40" s="1"/>
  <c r="I724" i="40"/>
  <c r="I893" i="40" s="1"/>
  <c r="H52" i="37"/>
  <c r="H60" i="37"/>
  <c r="H69" i="37"/>
  <c r="H77" i="37"/>
  <c r="H57" i="37"/>
  <c r="H65" i="37"/>
  <c r="H74" i="37"/>
  <c r="H40" i="37"/>
  <c r="H59" i="37"/>
  <c r="H71" i="37"/>
  <c r="H80" i="37"/>
  <c r="H72" i="37"/>
  <c r="H62" i="37"/>
  <c r="H45" i="37"/>
  <c r="H63" i="37"/>
  <c r="H75" i="37"/>
  <c r="H58" i="37"/>
  <c r="H54" i="37"/>
  <c r="H76" i="37"/>
  <c r="H55" i="37"/>
  <c r="H67" i="37"/>
  <c r="H68" i="37"/>
  <c r="H79" i="37"/>
  <c r="H81" i="37"/>
  <c r="H64" i="37"/>
  <c r="H61" i="37"/>
  <c r="H78" i="37"/>
  <c r="H73" i="37"/>
  <c r="H56" i="37"/>
  <c r="H70" i="37"/>
  <c r="I1030" i="40"/>
  <c r="L481" i="40"/>
  <c r="L650" i="40" s="1"/>
  <c r="K829" i="40"/>
  <c r="K998" i="40" s="1"/>
  <c r="K432" i="40"/>
  <c r="K601" i="40" s="1"/>
  <c r="J780" i="40"/>
  <c r="J949" i="40" s="1"/>
  <c r="K622" i="40"/>
  <c r="K460" i="40"/>
  <c r="K629" i="40" s="1"/>
  <c r="J808" i="40"/>
  <c r="J977" i="40" s="1"/>
  <c r="L454" i="40"/>
  <c r="L623" i="40" s="1"/>
  <c r="K802" i="40"/>
  <c r="K971" i="40" s="1"/>
  <c r="L389" i="40"/>
  <c r="L558" i="40" s="1"/>
  <c r="K737" i="40"/>
  <c r="K906" i="40" s="1"/>
  <c r="L365" i="40"/>
  <c r="K713" i="40"/>
  <c r="K882" i="40" s="1"/>
  <c r="K447" i="40"/>
  <c r="K616" i="40" s="1"/>
  <c r="J795" i="40"/>
  <c r="J964" i="40" s="1"/>
  <c r="I911" i="40"/>
  <c r="O40" i="37"/>
  <c r="O67" i="37"/>
  <c r="O55" i="37"/>
  <c r="O59" i="37"/>
  <c r="O63" i="37"/>
  <c r="O68" i="37"/>
  <c r="O72" i="37"/>
  <c r="O76" i="37"/>
  <c r="O80" i="37"/>
  <c r="O75" i="37"/>
  <c r="O52" i="37"/>
  <c r="O56" i="37"/>
  <c r="O60" i="37"/>
  <c r="O64" i="37"/>
  <c r="O69" i="37"/>
  <c r="O73" i="37"/>
  <c r="O77" i="37"/>
  <c r="O81" i="37"/>
  <c r="O71" i="37"/>
  <c r="O58" i="37"/>
  <c r="O53" i="37"/>
  <c r="O57" i="37"/>
  <c r="O61" i="37"/>
  <c r="O65" i="37"/>
  <c r="O70" i="37"/>
  <c r="O74" i="37"/>
  <c r="O78" i="37"/>
  <c r="O62" i="37"/>
  <c r="O79" i="37"/>
  <c r="O45" i="37"/>
  <c r="J872" i="40"/>
  <c r="N18" i="10"/>
  <c r="H939" i="40"/>
  <c r="L472" i="40"/>
  <c r="L641" i="40" s="1"/>
  <c r="K820" i="40"/>
  <c r="I898" i="40"/>
  <c r="M761" i="40"/>
  <c r="M930" i="40" s="1"/>
  <c r="I964" i="40"/>
  <c r="I946" i="40"/>
  <c r="K381" i="40"/>
  <c r="K550" i="40" s="1"/>
  <c r="J729" i="40"/>
  <c r="K30" i="10"/>
  <c r="K16" i="10"/>
  <c r="K18" i="10" s="1"/>
  <c r="J374" i="40"/>
  <c r="J543" i="40" s="1"/>
  <c r="I722" i="40"/>
  <c r="J925" i="40"/>
  <c r="J69" i="16"/>
  <c r="J50" i="16"/>
  <c r="J81" i="16" s="1"/>
  <c r="J172" i="16" s="1"/>
  <c r="J426" i="40"/>
  <c r="I774" i="40"/>
  <c r="I943" i="40" s="1"/>
  <c r="K530" i="40"/>
  <c r="L930" i="40"/>
  <c r="I924" i="40"/>
  <c r="J1002" i="40"/>
  <c r="K666" i="40"/>
  <c r="O50" i="16"/>
  <c r="O78" i="16" s="1"/>
  <c r="O69" i="16"/>
  <c r="J388" i="40"/>
  <c r="J557" i="40" s="1"/>
  <c r="I736" i="40"/>
  <c r="M412" i="40"/>
  <c r="M581" i="40" s="1"/>
  <c r="L760" i="40"/>
  <c r="K930" i="40"/>
  <c r="I1027" i="40"/>
  <c r="I69" i="16"/>
  <c r="I50" i="16"/>
  <c r="I81" i="16" s="1"/>
  <c r="I172" i="16" s="1"/>
  <c r="N194" i="37"/>
  <c r="N202" i="37" s="1"/>
  <c r="I971" i="40"/>
  <c r="L385" i="40"/>
  <c r="L554" i="40" s="1"/>
  <c r="K733" i="40"/>
  <c r="K902" i="40" s="1"/>
  <c r="K508" i="40"/>
  <c r="K677" i="40" s="1"/>
  <c r="J856" i="40"/>
  <c r="J1025" i="40" s="1"/>
  <c r="L501" i="40"/>
  <c r="L670" i="40" s="1"/>
  <c r="K849" i="40"/>
  <c r="K1018" i="40" s="1"/>
  <c r="K40" i="37"/>
  <c r="K79" i="37"/>
  <c r="K55" i="37"/>
  <c r="K59" i="37"/>
  <c r="K63" i="37"/>
  <c r="K68" i="37"/>
  <c r="K72" i="37"/>
  <c r="K76" i="37"/>
  <c r="K80" i="37"/>
  <c r="K58" i="37"/>
  <c r="K75" i="37"/>
  <c r="K56" i="37"/>
  <c r="K60" i="37"/>
  <c r="K64" i="37"/>
  <c r="K69" i="37"/>
  <c r="K73" i="37"/>
  <c r="K77" i="37"/>
  <c r="K81" i="37"/>
  <c r="K62" i="37"/>
  <c r="K67" i="37"/>
  <c r="K53" i="37"/>
  <c r="K82" i="37" s="1"/>
  <c r="K57" i="37"/>
  <c r="K61" i="37"/>
  <c r="K65" i="37"/>
  <c r="K70" i="37"/>
  <c r="K74" i="37"/>
  <c r="K78" i="37"/>
  <c r="K54" i="37"/>
  <c r="K71" i="37"/>
  <c r="K45" i="37"/>
  <c r="K451" i="40"/>
  <c r="K620" i="40" s="1"/>
  <c r="J799" i="40"/>
  <c r="J968" i="40" s="1"/>
  <c r="H875" i="40"/>
  <c r="K425" i="40"/>
  <c r="K594" i="40" s="1"/>
  <c r="J773" i="40"/>
  <c r="J942" i="40" s="1"/>
  <c r="J1012" i="40"/>
  <c r="L399" i="40"/>
  <c r="L568" i="40" s="1"/>
  <c r="K747" i="40"/>
  <c r="I933" i="40"/>
  <c r="J456" i="40"/>
  <c r="J625" i="40" s="1"/>
  <c r="I804" i="40"/>
  <c r="J1005" i="40"/>
  <c r="J914" i="40"/>
  <c r="K991" i="40"/>
  <c r="J1004" i="40"/>
  <c r="J422" i="40"/>
  <c r="J591" i="40" s="1"/>
  <c r="I770" i="40"/>
  <c r="I939" i="40" s="1"/>
  <c r="L516" i="40"/>
  <c r="L685" i="40" s="1"/>
  <c r="K864" i="40"/>
  <c r="K1033" i="40" s="1"/>
  <c r="J382" i="40"/>
  <c r="J551" i="40" s="1"/>
  <c r="I730" i="40"/>
  <c r="J921" i="40"/>
  <c r="I1003" i="40"/>
  <c r="K390" i="40"/>
  <c r="K559" i="40" s="1"/>
  <c r="J738" i="40"/>
  <c r="J907" i="40" s="1"/>
  <c r="L492" i="40"/>
  <c r="L661" i="40" s="1"/>
  <c r="K840" i="40"/>
  <c r="K1009" i="40" s="1"/>
  <c r="L377" i="40"/>
  <c r="L546" i="40" s="1"/>
  <c r="K725" i="40"/>
  <c r="K894" i="40" s="1"/>
  <c r="J402" i="40"/>
  <c r="J571" i="40" s="1"/>
  <c r="I750" i="40"/>
  <c r="I919" i="40" s="1"/>
  <c r="J880" i="40"/>
  <c r="K498" i="40"/>
  <c r="K667" i="40" s="1"/>
  <c r="J846" i="40"/>
  <c r="J58" i="37"/>
  <c r="J40" i="37"/>
  <c r="J52" i="37"/>
  <c r="J63" i="37"/>
  <c r="J57" i="37"/>
  <c r="J64" i="37"/>
  <c r="J69" i="37"/>
  <c r="J73" i="37"/>
  <c r="J77" i="37"/>
  <c r="J81" i="37"/>
  <c r="J59" i="37"/>
  <c r="J68" i="37"/>
  <c r="J60" i="37"/>
  <c r="J65" i="37"/>
  <c r="J70" i="37"/>
  <c r="J74" i="37"/>
  <c r="J78" i="37"/>
  <c r="J55" i="37"/>
  <c r="J72" i="37"/>
  <c r="J56" i="37"/>
  <c r="J61" i="37"/>
  <c r="J67" i="37"/>
  <c r="J71" i="37"/>
  <c r="J75" i="37"/>
  <c r="J76" i="37"/>
  <c r="J45" i="37"/>
  <c r="J62" i="37"/>
  <c r="J54" i="37"/>
  <c r="J80" i="37"/>
  <c r="J79" i="37"/>
  <c r="J954" i="40"/>
  <c r="I993" i="40"/>
  <c r="K459" i="40"/>
  <c r="K628" i="40" s="1"/>
  <c r="J807" i="40"/>
  <c r="L424" i="40"/>
  <c r="L593" i="40" s="1"/>
  <c r="K772" i="40"/>
  <c r="K941" i="40" s="1"/>
  <c r="L493" i="40"/>
  <c r="L662" i="40" s="1"/>
  <c r="K841" i="40"/>
  <c r="J1011" i="40"/>
  <c r="J948" i="40"/>
  <c r="M499" i="40"/>
  <c r="M668" i="40" s="1"/>
  <c r="L847" i="40"/>
  <c r="J970" i="40"/>
  <c r="H915" i="40"/>
  <c r="J936" i="40"/>
  <c r="K386" i="40"/>
  <c r="J734" i="40"/>
  <c r="J903" i="40" s="1"/>
  <c r="M404" i="40"/>
  <c r="M573" i="40" s="1"/>
  <c r="L752" i="40"/>
  <c r="L921" i="40" s="1"/>
  <c r="K1019" i="40"/>
  <c r="L407" i="40"/>
  <c r="L576" i="40" s="1"/>
  <c r="K755" i="40"/>
  <c r="L1027" i="40"/>
  <c r="I927" i="40"/>
  <c r="H927" i="40"/>
  <c r="K428" i="40"/>
  <c r="K597" i="40" s="1"/>
  <c r="J776" i="40"/>
  <c r="J945" i="40" s="1"/>
  <c r="N69" i="16"/>
  <c r="N50" i="16"/>
  <c r="N80" i="16" s="1"/>
  <c r="K515" i="40"/>
  <c r="K684" i="40" s="1"/>
  <c r="J863" i="40"/>
  <c r="H893" i="40"/>
  <c r="K403" i="40"/>
  <c r="K572" i="40" s="1"/>
  <c r="J751" i="40"/>
  <c r="J920" i="40" s="1"/>
  <c r="L442" i="40"/>
  <c r="K790" i="40"/>
  <c r="L439" i="40"/>
  <c r="L608" i="40" s="1"/>
  <c r="K787" i="40"/>
  <c r="K956" i="40" s="1"/>
  <c r="I967" i="40"/>
  <c r="J990" i="40"/>
  <c r="M491" i="40"/>
  <c r="M660" i="40" s="1"/>
  <c r="L839" i="40"/>
  <c r="L1008" i="40" s="1"/>
  <c r="H931" i="40"/>
  <c r="L996" i="40"/>
  <c r="G50" i="16"/>
  <c r="H74" i="16" s="1"/>
  <c r="G69" i="16"/>
  <c r="L490" i="40"/>
  <c r="K838" i="40"/>
  <c r="K1007" i="40" s="1"/>
  <c r="I142" i="37"/>
  <c r="I244" i="36"/>
  <c r="J1026" i="40"/>
  <c r="J414" i="40"/>
  <c r="J583" i="40" s="1"/>
  <c r="I762" i="40"/>
  <c r="J1018" i="40"/>
  <c r="K50" i="16"/>
  <c r="L74" i="16" s="1"/>
  <c r="K69" i="16"/>
  <c r="I950" i="40"/>
  <c r="K452" i="40"/>
  <c r="K621" i="40" s="1"/>
  <c r="J800" i="40"/>
  <c r="J969" i="40" s="1"/>
  <c r="K420" i="40"/>
  <c r="K589" i="40" s="1"/>
  <c r="J768" i="40"/>
  <c r="J937" i="40" s="1"/>
  <c r="J503" i="40"/>
  <c r="J672" i="40" s="1"/>
  <c r="I851" i="40"/>
  <c r="K470" i="40"/>
  <c r="K639" i="40" s="1"/>
  <c r="J818" i="40"/>
  <c r="J466" i="40"/>
  <c r="J635" i="40" s="1"/>
  <c r="I814" i="40"/>
  <c r="J411" i="40"/>
  <c r="J580" i="40" s="1"/>
  <c r="I759" i="40"/>
  <c r="K958" i="40"/>
  <c r="I1023" i="40"/>
  <c r="L429" i="40"/>
  <c r="K777" i="40"/>
  <c r="K946" i="40" s="1"/>
  <c r="K500" i="40"/>
  <c r="K669" i="40" s="1"/>
  <c r="J848" i="40"/>
  <c r="H935" i="40"/>
  <c r="I985" i="40"/>
  <c r="K532" i="40"/>
  <c r="K369" i="40"/>
  <c r="K538" i="40" s="1"/>
  <c r="J717" i="40"/>
  <c r="J929" i="40"/>
  <c r="K405" i="40"/>
  <c r="J753" i="40"/>
  <c r="M514" i="40"/>
  <c r="M683" i="40" s="1"/>
  <c r="L862" i="40"/>
  <c r="L1031" i="40" s="1"/>
  <c r="I972" i="40"/>
  <c r="I963" i="40"/>
  <c r="H919" i="40"/>
  <c r="J906" i="40"/>
  <c r="K1031" i="40"/>
  <c r="H879" i="40"/>
  <c r="I900" i="40"/>
  <c r="I1002" i="40"/>
  <c r="M518" i="40"/>
  <c r="M687" i="40" s="1"/>
  <c r="L866" i="40"/>
  <c r="L1035" i="40" s="1"/>
  <c r="L108" i="16"/>
  <c r="L109" i="16" s="1"/>
  <c r="I932" i="40"/>
  <c r="I881" i="40"/>
  <c r="K934" i="40"/>
  <c r="I925" i="40"/>
  <c r="K1000" i="40"/>
  <c r="N16" i="10"/>
  <c r="N30" i="10"/>
  <c r="L489" i="40"/>
  <c r="K837" i="40"/>
  <c r="K1006" i="40" s="1"/>
  <c r="N197" i="37"/>
  <c r="N198" i="37"/>
  <c r="M197" i="37"/>
  <c r="M198" i="37"/>
  <c r="K434" i="40"/>
  <c r="K603" i="40" s="1"/>
  <c r="J782" i="40"/>
  <c r="J951" i="40" s="1"/>
  <c r="G53" i="37"/>
  <c r="G61" i="37"/>
  <c r="G70" i="37"/>
  <c r="G78" i="37"/>
  <c r="G58" i="37"/>
  <c r="G67" i="37"/>
  <c r="G75" i="37"/>
  <c r="G40" i="37"/>
  <c r="G52" i="37"/>
  <c r="G56" i="37"/>
  <c r="G60" i="37"/>
  <c r="G64" i="37"/>
  <c r="G69" i="37"/>
  <c r="G73" i="37"/>
  <c r="G77" i="37"/>
  <c r="G81" i="37"/>
  <c r="G55" i="37"/>
  <c r="G72" i="37"/>
  <c r="G59" i="37"/>
  <c r="G76" i="37"/>
  <c r="G68" i="37"/>
  <c r="G63" i="37"/>
  <c r="G80" i="37"/>
  <c r="G79" i="37"/>
  <c r="G62" i="37"/>
  <c r="G74" i="37"/>
  <c r="G57" i="37"/>
  <c r="G71" i="37"/>
  <c r="G45" i="37"/>
  <c r="G65" i="37"/>
  <c r="L512" i="40"/>
  <c r="K860" i="40"/>
  <c r="K1029" i="40" s="1"/>
  <c r="J887" i="40"/>
  <c r="K484" i="40"/>
  <c r="K653" i="40" s="1"/>
  <c r="J832" i="40"/>
  <c r="J360" i="40"/>
  <c r="J529" i="40" s="1"/>
  <c r="I708" i="40"/>
  <c r="H943" i="40"/>
  <c r="K552" i="40"/>
  <c r="I926" i="40"/>
  <c r="I998" i="40"/>
  <c r="I537" i="40"/>
  <c r="L473" i="40"/>
  <c r="L642" i="40" s="1"/>
  <c r="K821" i="40"/>
  <c r="G54" i="37"/>
  <c r="K463" i="40"/>
  <c r="K632" i="40" s="1"/>
  <c r="J811" i="40"/>
  <c r="J980" i="40" s="1"/>
  <c r="K448" i="40"/>
  <c r="K617" i="40" s="1"/>
  <c r="J796" i="40"/>
  <c r="J965" i="40" s="1"/>
  <c r="I894" i="40"/>
  <c r="J30" i="10"/>
  <c r="J16" i="10"/>
  <c r="J18" i="10" s="1"/>
  <c r="J902" i="40"/>
  <c r="M487" i="40"/>
  <c r="M656" i="40" s="1"/>
  <c r="L835" i="40"/>
  <c r="L1004" i="40" s="1"/>
  <c r="K457" i="40"/>
  <c r="K626" i="40" s="1"/>
  <c r="J805" i="40"/>
  <c r="J974" i="40" s="1"/>
  <c r="L1012" i="40"/>
  <c r="L375" i="40"/>
  <c r="K723" i="40"/>
  <c r="M50" i="16"/>
  <c r="M69" i="16"/>
  <c r="I872" i="40"/>
  <c r="J992" i="40"/>
  <c r="L506" i="40"/>
  <c r="L675" i="40" s="1"/>
  <c r="K854" i="40"/>
  <c r="K1023" i="40" s="1"/>
  <c r="K507" i="40"/>
  <c r="K676" i="40"/>
  <c r="J855" i="40"/>
  <c r="J1024" i="40" s="1"/>
  <c r="I882" i="40"/>
  <c r="I969" i="40"/>
  <c r="J918" i="40"/>
  <c r="I907" i="40"/>
  <c r="H69" i="16"/>
  <c r="H50" i="16"/>
  <c r="I74" i="16" s="1"/>
  <c r="M401" i="40"/>
  <c r="M570" i="40" s="1"/>
  <c r="L749" i="40"/>
  <c r="L918" i="40" s="1"/>
  <c r="L494" i="40"/>
  <c r="L663" i="40" s="1"/>
  <c r="K842" i="40"/>
  <c r="K1011" i="40" s="1"/>
  <c r="J1033" i="40"/>
  <c r="H889" i="40"/>
  <c r="L421" i="40"/>
  <c r="K769" i="40"/>
  <c r="J1001" i="40"/>
  <c r="K988" i="40"/>
  <c r="H923" i="40"/>
  <c r="J1007" i="40"/>
  <c r="M449" i="40"/>
  <c r="M618" i="40" s="1"/>
  <c r="L797" i="40"/>
  <c r="L966" i="40" s="1"/>
  <c r="K462" i="40"/>
  <c r="K631" i="40" s="1"/>
  <c r="J810" i="40"/>
  <c r="J979" i="40" s="1"/>
  <c r="M475" i="40"/>
  <c r="M644" i="40" s="1"/>
  <c r="L823" i="40"/>
  <c r="L992" i="40" s="1"/>
  <c r="I887" i="40"/>
  <c r="L16" i="10"/>
  <c r="L18" i="10" s="1"/>
  <c r="L30" i="10"/>
  <c r="L511" i="40"/>
  <c r="L680" i="40" s="1"/>
  <c r="K859" i="40"/>
  <c r="K1028" i="40" s="1"/>
  <c r="L480" i="40"/>
  <c r="L649" i="40" s="1"/>
  <c r="K828" i="40"/>
  <c r="K371" i="40"/>
  <c r="J719" i="40"/>
  <c r="J888" i="40" s="1"/>
  <c r="J469" i="40"/>
  <c r="J638" i="40" s="1"/>
  <c r="I817" i="40"/>
  <c r="J406" i="40"/>
  <c r="J575" i="40" s="1"/>
  <c r="I754" i="40"/>
  <c r="I923" i="40" s="1"/>
  <c r="K444" i="40"/>
  <c r="K613" i="40" s="1"/>
  <c r="J792" i="40"/>
  <c r="M461" i="40"/>
  <c r="M630" i="40" s="1"/>
  <c r="L809" i="40"/>
  <c r="L978" i="40" s="1"/>
  <c r="K400" i="40"/>
  <c r="K569" i="40" s="1"/>
  <c r="J748" i="40"/>
  <c r="J384" i="40"/>
  <c r="I732" i="40"/>
  <c r="I901" i="40" s="1"/>
  <c r="L524" i="40"/>
  <c r="K703" i="40"/>
  <c r="L50" i="16"/>
  <c r="M79" i="16" s="1"/>
  <c r="M162" i="16" s="1"/>
  <c r="L69" i="16"/>
  <c r="L488" i="40"/>
  <c r="L657" i="40" s="1"/>
  <c r="K836" i="40"/>
  <c r="K1005" i="40" s="1"/>
  <c r="L477" i="40"/>
  <c r="L646" i="40" s="1"/>
  <c r="K825" i="40"/>
  <c r="K994" i="40" s="1"/>
  <c r="I27" i="37"/>
  <c r="I135" i="36"/>
  <c r="I136" i="36" s="1"/>
  <c r="L427" i="40"/>
  <c r="L596" i="40" s="1"/>
  <c r="K775" i="40"/>
  <c r="L430" i="40"/>
  <c r="L599" i="40" s="1"/>
  <c r="K778" i="40"/>
  <c r="K947" i="40" s="1"/>
  <c r="J436" i="40"/>
  <c r="I784" i="40"/>
  <c r="I1034" i="40"/>
  <c r="M471" i="40"/>
  <c r="M640" i="40" s="1"/>
  <c r="L819" i="40"/>
  <c r="K614" i="40"/>
  <c r="K989" i="40"/>
  <c r="J989" i="40"/>
  <c r="J908" i="40"/>
  <c r="K440" i="40"/>
  <c r="K609" i="40" s="1"/>
  <c r="J788" i="40"/>
  <c r="J957" i="40" s="1"/>
  <c r="K443" i="40"/>
  <c r="K612" i="40" s="1"/>
  <c r="J791" i="40"/>
  <c r="K476" i="40"/>
  <c r="J824" i="40"/>
  <c r="J392" i="40"/>
  <c r="J561" i="40" s="1"/>
  <c r="I740" i="40"/>
  <c r="H885" i="40"/>
  <c r="K482" i="40"/>
  <c r="K651" i="40" s="1"/>
  <c r="J830" i="40"/>
  <c r="J999" i="40" s="1"/>
  <c r="H897" i="40"/>
  <c r="L152" i="37"/>
  <c r="J358" i="40"/>
  <c r="I706" i="40"/>
  <c r="I875" i="40" s="1"/>
  <c r="K478" i="40"/>
  <c r="K647" i="40" s="1"/>
  <c r="J826" i="40"/>
  <c r="I549" i="40"/>
  <c r="J852" i="40"/>
  <c r="J1021" i="40" s="1"/>
  <c r="K504" i="40"/>
  <c r="K505" i="40"/>
  <c r="K674" i="40"/>
  <c r="J853" i="40"/>
  <c r="I987" i="40"/>
  <c r="J878" i="40"/>
  <c r="H901" i="40"/>
  <c r="J1035" i="40"/>
  <c r="I587" i="40"/>
  <c r="J966" i="40"/>
  <c r="L35" i="10"/>
  <c r="K607" i="40"/>
  <c r="I974" i="40"/>
  <c r="K27" i="10"/>
  <c r="J28" i="10"/>
  <c r="I541" i="40"/>
  <c r="I918" i="40"/>
  <c r="K1008" i="40"/>
  <c r="K458" i="40"/>
  <c r="K627" i="40" s="1"/>
  <c r="J806" i="40"/>
  <c r="I531" i="40"/>
  <c r="I1011" i="40"/>
  <c r="I917" i="40"/>
  <c r="L157" i="37"/>
  <c r="L117" i="37"/>
  <c r="L39" i="37" s="1"/>
  <c r="I929" i="40"/>
  <c r="I954" i="40"/>
  <c r="I30" i="10"/>
  <c r="I32" i="10" s="1"/>
  <c r="I37" i="10" s="1"/>
  <c r="K7" i="41" s="1"/>
  <c r="I16" i="10"/>
  <c r="I18" i="10" s="1"/>
  <c r="K523" i="40"/>
  <c r="J702" i="40"/>
  <c r="J871" i="40" s="1"/>
  <c r="J886" i="40"/>
  <c r="J947" i="40"/>
  <c r="I1022" i="40"/>
  <c r="I959" i="40"/>
  <c r="J955" i="40"/>
  <c r="J910" i="40"/>
  <c r="I1009" i="40"/>
  <c r="J378" i="40"/>
  <c r="I726" i="40"/>
  <c r="K996" i="40"/>
  <c r="K1034" i="40"/>
  <c r="K959" i="40"/>
  <c r="J32" i="10" l="1"/>
  <c r="J37" i="10" s="1"/>
  <c r="L7" i="41" s="1"/>
  <c r="L857" i="40"/>
  <c r="L1026" i="40" s="1"/>
  <c r="K707" i="40"/>
  <c r="K876" i="40" s="1"/>
  <c r="M417" i="40"/>
  <c r="M586" i="40" s="1"/>
  <c r="L765" i="40"/>
  <c r="I689" i="40"/>
  <c r="M416" i="40"/>
  <c r="M585" i="40" s="1"/>
  <c r="L764" i="40"/>
  <c r="L933" i="40" s="1"/>
  <c r="K79" i="16"/>
  <c r="K162" i="16" s="1"/>
  <c r="N199" i="37"/>
  <c r="N203" i="37" s="1"/>
  <c r="N81" i="16"/>
  <c r="N172" i="16" s="1"/>
  <c r="K74" i="16"/>
  <c r="J80" i="16"/>
  <c r="J78" i="16"/>
  <c r="O81" i="16"/>
  <c r="O172" i="16" s="1"/>
  <c r="H79" i="16"/>
  <c r="H162" i="16" s="1"/>
  <c r="N78" i="16"/>
  <c r="H93" i="16"/>
  <c r="H163" i="16" s="1"/>
  <c r="H80" i="16"/>
  <c r="H87" i="16"/>
  <c r="H143" i="16" s="1"/>
  <c r="M199" i="37"/>
  <c r="M203" i="37" s="1"/>
  <c r="H88" i="16"/>
  <c r="H149" i="16" s="1"/>
  <c r="K503" i="40"/>
  <c r="K672" i="40" s="1"/>
  <c r="J851" i="40"/>
  <c r="K388" i="40"/>
  <c r="K557" i="40" s="1"/>
  <c r="J736" i="40"/>
  <c r="J905" i="40" s="1"/>
  <c r="L394" i="40"/>
  <c r="L563" i="40" s="1"/>
  <c r="K742" i="40"/>
  <c r="K911" i="40" s="1"/>
  <c r="M477" i="40"/>
  <c r="M646" i="40" s="1"/>
  <c r="L825" i="40"/>
  <c r="N475" i="40"/>
  <c r="N644" i="40" s="1"/>
  <c r="M823" i="40"/>
  <c r="M992" i="40" s="1"/>
  <c r="N499" i="40"/>
  <c r="N668" i="40" s="1"/>
  <c r="M847" i="40"/>
  <c r="L432" i="40"/>
  <c r="L601" i="40" s="1"/>
  <c r="K780" i="40"/>
  <c r="M431" i="40"/>
  <c r="M600" i="40" s="1"/>
  <c r="L779" i="40"/>
  <c r="L508" i="40"/>
  <c r="L677" i="40" s="1"/>
  <c r="K856" i="40"/>
  <c r="K1025" i="40" s="1"/>
  <c r="M389" i="40"/>
  <c r="M558" i="40" s="1"/>
  <c r="L737" i="40"/>
  <c r="M415" i="40"/>
  <c r="M584" i="40" s="1"/>
  <c r="L763" i="40"/>
  <c r="L932" i="40" s="1"/>
  <c r="L458" i="40"/>
  <c r="L627" i="40" s="1"/>
  <c r="K806" i="40"/>
  <c r="M430" i="40"/>
  <c r="M599" i="40" s="1"/>
  <c r="L778" i="40"/>
  <c r="L947" i="40" s="1"/>
  <c r="L444" i="40"/>
  <c r="L613" i="40" s="1"/>
  <c r="K792" i="40"/>
  <c r="K961" i="40" s="1"/>
  <c r="M494" i="40"/>
  <c r="M663" i="40" s="1"/>
  <c r="L842" i="40"/>
  <c r="L1011" i="40" s="1"/>
  <c r="L500" i="40"/>
  <c r="L669" i="40" s="1"/>
  <c r="K848" i="40"/>
  <c r="L420" i="40"/>
  <c r="L589" i="40" s="1"/>
  <c r="K768" i="40"/>
  <c r="K937" i="40" s="1"/>
  <c r="K751" i="40"/>
  <c r="L403" i="40"/>
  <c r="L572" i="40" s="1"/>
  <c r="K456" i="40"/>
  <c r="K625" i="40" s="1"/>
  <c r="J804" i="40"/>
  <c r="M454" i="40"/>
  <c r="M623" i="40" s="1"/>
  <c r="L802" i="40"/>
  <c r="L370" i="40"/>
  <c r="L539" i="40" s="1"/>
  <c r="K718" i="40"/>
  <c r="K887" i="40" s="1"/>
  <c r="L379" i="40"/>
  <c r="L548" i="40" s="1"/>
  <c r="K727" i="40"/>
  <c r="K896" i="40" s="1"/>
  <c r="M502" i="40"/>
  <c r="M671" i="40" s="1"/>
  <c r="L850" i="40"/>
  <c r="N510" i="40"/>
  <c r="N679" i="40" s="1"/>
  <c r="M858" i="40"/>
  <c r="M486" i="40"/>
  <c r="M655" i="40" s="1"/>
  <c r="L834" i="40"/>
  <c r="L1003" i="40" s="1"/>
  <c r="L478" i="40"/>
  <c r="L647" i="40" s="1"/>
  <c r="K826" i="40"/>
  <c r="K995" i="40" s="1"/>
  <c r="K402" i="40"/>
  <c r="K571" i="40" s="1"/>
  <c r="J750" i="40"/>
  <c r="J919" i="40" s="1"/>
  <c r="M385" i="40"/>
  <c r="M554" i="40" s="1"/>
  <c r="L733" i="40"/>
  <c r="N433" i="40"/>
  <c r="N602" i="40" s="1"/>
  <c r="M781" i="40"/>
  <c r="M950" i="40" s="1"/>
  <c r="M488" i="40"/>
  <c r="M657" i="40" s="1"/>
  <c r="L836" i="40"/>
  <c r="L1005" i="40" s="1"/>
  <c r="N401" i="40"/>
  <c r="M749" i="40"/>
  <c r="M918" i="40" s="1"/>
  <c r="M506" i="40"/>
  <c r="M675" i="40" s="1"/>
  <c r="L854" i="40"/>
  <c r="L200" i="41"/>
  <c r="L207" i="41"/>
  <c r="L215" i="41"/>
  <c r="L223" i="41"/>
  <c r="L195" i="41"/>
  <c r="L210" i="41"/>
  <c r="L218" i="41"/>
  <c r="L198" i="41"/>
  <c r="L205" i="41"/>
  <c r="L213" i="41"/>
  <c r="L193" i="41"/>
  <c r="L189" i="41"/>
  <c r="L196" i="41"/>
  <c r="L203" i="41"/>
  <c r="L211" i="41"/>
  <c r="L219" i="41"/>
  <c r="L199" i="41"/>
  <c r="L206" i="41"/>
  <c r="L214" i="41"/>
  <c r="L209" i="41"/>
  <c r="L239" i="41"/>
  <c r="L247" i="41"/>
  <c r="L255" i="41"/>
  <c r="L263" i="41"/>
  <c r="L271" i="41"/>
  <c r="L279" i="41"/>
  <c r="L197" i="41"/>
  <c r="L204" i="41"/>
  <c r="L224" i="41"/>
  <c r="L227" i="41"/>
  <c r="L234" i="41"/>
  <c r="L242" i="41"/>
  <c r="L250" i="41"/>
  <c r="L258" i="41"/>
  <c r="L266" i="41"/>
  <c r="L217" i="41"/>
  <c r="L220" i="41"/>
  <c r="L237" i="41"/>
  <c r="L245" i="41"/>
  <c r="L253" i="41"/>
  <c r="L261" i="41"/>
  <c r="L269" i="41"/>
  <c r="L277" i="41"/>
  <c r="L194" i="41"/>
  <c r="L208" i="41"/>
  <c r="L221" i="41"/>
  <c r="L225" i="41"/>
  <c r="L232" i="41"/>
  <c r="L240" i="41"/>
  <c r="L248" i="41"/>
  <c r="L256" i="41"/>
  <c r="L264" i="41"/>
  <c r="L272" i="41"/>
  <c r="L280" i="41"/>
  <c r="L190" i="41"/>
  <c r="L216" i="41"/>
  <c r="L228" i="41"/>
  <c r="L235" i="41"/>
  <c r="L243" i="41"/>
  <c r="L251" i="41"/>
  <c r="L238" i="41"/>
  <c r="L246" i="41"/>
  <c r="L254" i="41"/>
  <c r="L262" i="41"/>
  <c r="L222" i="41"/>
  <c r="L226" i="41"/>
  <c r="L233" i="41"/>
  <c r="L241" i="41"/>
  <c r="L249" i="41"/>
  <c r="L257" i="41"/>
  <c r="L265" i="41"/>
  <c r="L273" i="41"/>
  <c r="L259" i="41"/>
  <c r="L267" i="41"/>
  <c r="L288" i="41"/>
  <c r="L296" i="41"/>
  <c r="L229" i="41"/>
  <c r="L252" i="41"/>
  <c r="L281" i="41"/>
  <c r="L282" i="41"/>
  <c r="L283" i="41"/>
  <c r="L291" i="41"/>
  <c r="L306" i="41"/>
  <c r="L314" i="41"/>
  <c r="L322" i="41"/>
  <c r="L330" i="41"/>
  <c r="L212" i="41"/>
  <c r="L270" i="41"/>
  <c r="L274" i="41"/>
  <c r="L278" i="41"/>
  <c r="L284" i="41"/>
  <c r="L285" i="41"/>
  <c r="L294" i="41"/>
  <c r="L301" i="41"/>
  <c r="L309" i="41"/>
  <c r="L317" i="41"/>
  <c r="L286" i="41"/>
  <c r="L289" i="41"/>
  <c r="L297" i="41"/>
  <c r="L304" i="41"/>
  <c r="L260" i="41"/>
  <c r="L292" i="41"/>
  <c r="L307" i="41"/>
  <c r="L315" i="41"/>
  <c r="L323" i="41"/>
  <c r="L331" i="41"/>
  <c r="L236" i="41"/>
  <c r="L287" i="41"/>
  <c r="L268" i="41"/>
  <c r="L276" i="41"/>
  <c r="L290" i="41"/>
  <c r="L298" i="41"/>
  <c r="L305" i="41"/>
  <c r="L313" i="41"/>
  <c r="L302" i="41"/>
  <c r="L308" i="41"/>
  <c r="L316" i="41"/>
  <c r="L327" i="41"/>
  <c r="L328" i="41"/>
  <c r="L341" i="41"/>
  <c r="L349" i="41"/>
  <c r="L311" i="41"/>
  <c r="L319" i="41"/>
  <c r="L329" i="41"/>
  <c r="L336" i="41"/>
  <c r="L344" i="41"/>
  <c r="L352" i="41"/>
  <c r="L339" i="41"/>
  <c r="L347" i="41"/>
  <c r="L310" i="41"/>
  <c r="L318" i="41"/>
  <c r="L332" i="41"/>
  <c r="L333" i="41"/>
  <c r="L334" i="41"/>
  <c r="L342" i="41"/>
  <c r="L350" i="41"/>
  <c r="L337" i="41"/>
  <c r="L345" i="41"/>
  <c r="L353" i="41"/>
  <c r="L244" i="41"/>
  <c r="L295" i="41"/>
  <c r="L340" i="41"/>
  <c r="L348" i="41"/>
  <c r="L275" i="41"/>
  <c r="L303" i="41"/>
  <c r="L335" i="41"/>
  <c r="L343" i="41"/>
  <c r="L351" i="41"/>
  <c r="L320" i="41"/>
  <c r="L324" i="41"/>
  <c r="L321" i="41"/>
  <c r="L325" i="41"/>
  <c r="L338" i="41"/>
  <c r="L293" i="41"/>
  <c r="L312" i="41"/>
  <c r="L326" i="41"/>
  <c r="L346" i="41"/>
  <c r="L369" i="40"/>
  <c r="L538" i="40" s="1"/>
  <c r="K717" i="40"/>
  <c r="K886" i="40" s="1"/>
  <c r="K466" i="40"/>
  <c r="K635" i="40" s="1"/>
  <c r="J814" i="40"/>
  <c r="M407" i="40"/>
  <c r="M576" i="40" s="1"/>
  <c r="L755" i="40"/>
  <c r="L924" i="40" s="1"/>
  <c r="N461" i="40"/>
  <c r="N630" i="40" s="1"/>
  <c r="M809" i="40"/>
  <c r="I148" i="16"/>
  <c r="L459" i="40"/>
  <c r="L628" i="40" s="1"/>
  <c r="K807" i="40"/>
  <c r="K976" i="40" s="1"/>
  <c r="M399" i="40"/>
  <c r="M568" i="40" s="1"/>
  <c r="L747" i="40"/>
  <c r="L916" i="40" s="1"/>
  <c r="L451" i="40"/>
  <c r="L620" i="40" s="1"/>
  <c r="K799" i="40"/>
  <c r="L468" i="40"/>
  <c r="L637" i="40" s="1"/>
  <c r="K816" i="40"/>
  <c r="K392" i="40"/>
  <c r="J740" i="40"/>
  <c r="J909" i="40" s="1"/>
  <c r="L457" i="40"/>
  <c r="L626" i="40" s="1"/>
  <c r="K805" i="40"/>
  <c r="L470" i="40"/>
  <c r="L639" i="40" s="1"/>
  <c r="K818" i="40"/>
  <c r="L515" i="40"/>
  <c r="L684" i="40" s="1"/>
  <c r="K863" i="40"/>
  <c r="K1032" i="40" s="1"/>
  <c r="N412" i="40"/>
  <c r="N581" i="40" s="1"/>
  <c r="M760" i="40"/>
  <c r="K410" i="40"/>
  <c r="K579" i="40" s="1"/>
  <c r="J758" i="40"/>
  <c r="M419" i="40"/>
  <c r="M588" i="40" s="1"/>
  <c r="L767" i="40"/>
  <c r="L936" i="40" s="1"/>
  <c r="M437" i="40"/>
  <c r="M606" i="40" s="1"/>
  <c r="L785" i="40"/>
  <c r="L954" i="40" s="1"/>
  <c r="M492" i="40"/>
  <c r="M661" i="40" s="1"/>
  <c r="L840" i="40"/>
  <c r="L1009" i="40" s="1"/>
  <c r="L400" i="40"/>
  <c r="L569" i="40" s="1"/>
  <c r="K748" i="40"/>
  <c r="K917" i="40" s="1"/>
  <c r="M480" i="40"/>
  <c r="M649" i="40" s="1"/>
  <c r="L828" i="40"/>
  <c r="L997" i="40" s="1"/>
  <c r="L448" i="40"/>
  <c r="L617" i="40" s="1"/>
  <c r="K796" i="40"/>
  <c r="K965" i="40" s="1"/>
  <c r="L434" i="40"/>
  <c r="L603" i="40" s="1"/>
  <c r="K782" i="40"/>
  <c r="L597" i="40"/>
  <c r="L428" i="40"/>
  <c r="K776" i="40"/>
  <c r="K945" i="40" s="1"/>
  <c r="K376" i="40"/>
  <c r="K545" i="40" s="1"/>
  <c r="J724" i="40"/>
  <c r="J893" i="40" s="1"/>
  <c r="N513" i="40"/>
  <c r="N682" i="40" s="1"/>
  <c r="M861" i="40"/>
  <c r="M1030" i="40" s="1"/>
  <c r="N409" i="40"/>
  <c r="N578" i="40" s="1"/>
  <c r="M757" i="40"/>
  <c r="M926" i="40" s="1"/>
  <c r="L423" i="40"/>
  <c r="L592" i="40" s="1"/>
  <c r="K771" i="40"/>
  <c r="K940" i="40" s="1"/>
  <c r="L440" i="40"/>
  <c r="L609" i="40" s="1"/>
  <c r="K788" i="40"/>
  <c r="N73" i="16"/>
  <c r="N142" i="16" s="1"/>
  <c r="N75" i="16"/>
  <c r="N152" i="16" s="1"/>
  <c r="M58" i="16"/>
  <c r="M72" i="16"/>
  <c r="K374" i="40"/>
  <c r="K543" i="40" s="1"/>
  <c r="J722" i="40"/>
  <c r="O93" i="37"/>
  <c r="O163" i="37" s="1"/>
  <c r="O97" i="37"/>
  <c r="O167" i="37" s="1"/>
  <c r="O102" i="37"/>
  <c r="O172" i="37" s="1"/>
  <c r="O106" i="37"/>
  <c r="O176" i="37" s="1"/>
  <c r="O110" i="37"/>
  <c r="O180" i="37" s="1"/>
  <c r="O90" i="37"/>
  <c r="O160" i="37" s="1"/>
  <c r="O94" i="37"/>
  <c r="O164" i="37" s="1"/>
  <c r="O98" i="37"/>
  <c r="O168" i="37" s="1"/>
  <c r="O103" i="37"/>
  <c r="O173" i="37" s="1"/>
  <c r="O107" i="37"/>
  <c r="O177" i="37" s="1"/>
  <c r="O111" i="37"/>
  <c r="O181" i="37" s="1"/>
  <c r="O115" i="37"/>
  <c r="O185" i="37" s="1"/>
  <c r="O87" i="37"/>
  <c r="O91" i="37"/>
  <c r="O161" i="37" s="1"/>
  <c r="O95" i="37"/>
  <c r="O165" i="37" s="1"/>
  <c r="O99" i="37"/>
  <c r="O169" i="37" s="1"/>
  <c r="O104" i="37"/>
  <c r="O174" i="37" s="1"/>
  <c r="O108" i="37"/>
  <c r="O178" i="37" s="1"/>
  <c r="O112" i="37"/>
  <c r="O182" i="37" s="1"/>
  <c r="O116" i="37"/>
  <c r="O151" i="37" s="1"/>
  <c r="O88" i="37"/>
  <c r="O158" i="37" s="1"/>
  <c r="O92" i="37"/>
  <c r="O162" i="37" s="1"/>
  <c r="O96" i="37"/>
  <c r="O166" i="37" s="1"/>
  <c r="O100" i="37"/>
  <c r="O170" i="37" s="1"/>
  <c r="O105" i="37"/>
  <c r="O175" i="37" s="1"/>
  <c r="O109" i="37"/>
  <c r="O179" i="37" s="1"/>
  <c r="O113" i="37"/>
  <c r="O183" i="37" s="1"/>
  <c r="O114" i="37"/>
  <c r="O184" i="37" s="1"/>
  <c r="O89" i="37"/>
  <c r="O159" i="37" s="1"/>
  <c r="M481" i="40"/>
  <c r="M650" i="40" s="1"/>
  <c r="L829" i="40"/>
  <c r="M393" i="40"/>
  <c r="M562" i="40" s="1"/>
  <c r="L741" i="40"/>
  <c r="L27" i="10"/>
  <c r="K28" i="10"/>
  <c r="K32" i="10" s="1"/>
  <c r="K37" i="10" s="1"/>
  <c r="M7" i="41" s="1"/>
  <c r="J527" i="40"/>
  <c r="K645" i="40"/>
  <c r="I72" i="37"/>
  <c r="I37" i="37"/>
  <c r="J553" i="40"/>
  <c r="I986" i="40"/>
  <c r="H168" i="16"/>
  <c r="K974" i="40"/>
  <c r="L681" i="40"/>
  <c r="H81" i="16"/>
  <c r="H172" i="16" s="1"/>
  <c r="J82" i="37"/>
  <c r="I899" i="40"/>
  <c r="H89" i="16"/>
  <c r="H153" i="16" s="1"/>
  <c r="K89" i="37"/>
  <c r="K159" i="37" s="1"/>
  <c r="K93" i="37"/>
  <c r="K163" i="37" s="1"/>
  <c r="K97" i="37"/>
  <c r="K167" i="37" s="1"/>
  <c r="K102" i="37"/>
  <c r="K172" i="37" s="1"/>
  <c r="K106" i="37"/>
  <c r="K176" i="37" s="1"/>
  <c r="K114" i="37"/>
  <c r="K184" i="37" s="1"/>
  <c r="K90" i="37"/>
  <c r="K160" i="37" s="1"/>
  <c r="K94" i="37"/>
  <c r="K164" i="37" s="1"/>
  <c r="K98" i="37"/>
  <c r="K168" i="37" s="1"/>
  <c r="K103" i="37"/>
  <c r="K173" i="37" s="1"/>
  <c r="K107" i="37"/>
  <c r="K177" i="37" s="1"/>
  <c r="K111" i="37"/>
  <c r="K181" i="37" s="1"/>
  <c r="K115" i="37"/>
  <c r="K185" i="37" s="1"/>
  <c r="K91" i="37"/>
  <c r="K161" i="37" s="1"/>
  <c r="K95" i="37"/>
  <c r="K165" i="37" s="1"/>
  <c r="K99" i="37"/>
  <c r="K169" i="37" s="1"/>
  <c r="K104" i="37"/>
  <c r="K174" i="37" s="1"/>
  <c r="K108" i="37"/>
  <c r="K178" i="37" s="1"/>
  <c r="K112" i="37"/>
  <c r="K182" i="37" s="1"/>
  <c r="K116" i="37"/>
  <c r="K151" i="37" s="1"/>
  <c r="L198" i="37" s="1"/>
  <c r="K88" i="37"/>
  <c r="K158" i="37" s="1"/>
  <c r="K92" i="37"/>
  <c r="K162" i="37" s="1"/>
  <c r="K96" i="37"/>
  <c r="K166" i="37" s="1"/>
  <c r="K100" i="37"/>
  <c r="K170" i="37" s="1"/>
  <c r="K109" i="37"/>
  <c r="K179" i="37" s="1"/>
  <c r="K113" i="37"/>
  <c r="K183" i="37" s="1"/>
  <c r="K105" i="37"/>
  <c r="K175" i="37" s="1"/>
  <c r="K110" i="37"/>
  <c r="K180" i="37" s="1"/>
  <c r="K87" i="37"/>
  <c r="I58" i="16"/>
  <c r="I72" i="16"/>
  <c r="J73" i="16"/>
  <c r="J142" i="16" s="1"/>
  <c r="J75" i="16"/>
  <c r="J152" i="16" s="1"/>
  <c r="O58" i="16"/>
  <c r="O72" i="16"/>
  <c r="J79" i="16"/>
  <c r="J162" i="16" s="1"/>
  <c r="H37" i="10"/>
  <c r="J7" i="41" s="1"/>
  <c r="M511" i="40"/>
  <c r="M680" i="40" s="1"/>
  <c r="L859" i="40"/>
  <c r="L1028" i="40" s="1"/>
  <c r="K360" i="40"/>
  <c r="K529" i="40" s="1"/>
  <c r="J708" i="40"/>
  <c r="J877" i="40" s="1"/>
  <c r="G82" i="37"/>
  <c r="K411" i="40"/>
  <c r="K580" i="40" s="1"/>
  <c r="J759" i="40"/>
  <c r="K148" i="16"/>
  <c r="N74" i="16"/>
  <c r="K469" i="40"/>
  <c r="K638" i="40" s="1"/>
  <c r="J817" i="40"/>
  <c r="M473" i="40"/>
  <c r="M642" i="40" s="1"/>
  <c r="L821" i="40"/>
  <c r="L990" i="40" s="1"/>
  <c r="K58" i="16"/>
  <c r="K72" i="16"/>
  <c r="L73" i="16"/>
  <c r="L142" i="16" s="1"/>
  <c r="L75" i="16"/>
  <c r="L152" i="16" s="1"/>
  <c r="M493" i="40"/>
  <c r="M662" i="40" s="1"/>
  <c r="L841" i="40"/>
  <c r="L1010" i="40" s="1"/>
  <c r="K382" i="40"/>
  <c r="K551" i="40" s="1"/>
  <c r="J730" i="40"/>
  <c r="J899" i="40" s="1"/>
  <c r="L497" i="40"/>
  <c r="L666" i="40" s="1"/>
  <c r="K845" i="40"/>
  <c r="M373" i="40"/>
  <c r="M542" i="40" s="1"/>
  <c r="L721" i="40"/>
  <c r="K948" i="40"/>
  <c r="J961" i="40"/>
  <c r="L590" i="40"/>
  <c r="H78" i="16"/>
  <c r="M78" i="16"/>
  <c r="J995" i="40"/>
  <c r="J983" i="40"/>
  <c r="I983" i="40"/>
  <c r="K892" i="40"/>
  <c r="G58" i="16"/>
  <c r="H73" i="16"/>
  <c r="H142" i="16" s="1"/>
  <c r="H75" i="16"/>
  <c r="H152" i="16" s="1"/>
  <c r="N72" i="16"/>
  <c r="O73" i="16"/>
  <c r="O142" i="16" s="1"/>
  <c r="O75" i="16"/>
  <c r="O152" i="16" s="1"/>
  <c r="N58" i="16"/>
  <c r="I80" i="16"/>
  <c r="J595" i="40"/>
  <c r="J74" i="16"/>
  <c r="O82" i="37"/>
  <c r="L453" i="40"/>
  <c r="L622" i="40" s="1"/>
  <c r="K801" i="40"/>
  <c r="M485" i="40"/>
  <c r="M654" i="40" s="1"/>
  <c r="L833" i="40"/>
  <c r="L1002" i="40" s="1"/>
  <c r="L197" i="37"/>
  <c r="M192" i="37"/>
  <c r="L482" i="40"/>
  <c r="L651" i="40" s="1"/>
  <c r="K830" i="40"/>
  <c r="K999" i="40" s="1"/>
  <c r="L148" i="16"/>
  <c r="N449" i="40"/>
  <c r="N618" i="40" s="1"/>
  <c r="M797" i="40"/>
  <c r="M966" i="40" s="1"/>
  <c r="M501" i="40"/>
  <c r="M670" i="40" s="1"/>
  <c r="L849" i="40"/>
  <c r="J90" i="37"/>
  <c r="J160" i="37" s="1"/>
  <c r="J94" i="37"/>
  <c r="J164" i="37" s="1"/>
  <c r="J98" i="37"/>
  <c r="J168" i="37" s="1"/>
  <c r="J92" i="37"/>
  <c r="J162" i="37" s="1"/>
  <c r="J103" i="37"/>
  <c r="J173" i="37" s="1"/>
  <c r="J107" i="37"/>
  <c r="J177" i="37" s="1"/>
  <c r="J87" i="37"/>
  <c r="J93" i="37"/>
  <c r="J163" i="37" s="1"/>
  <c r="J99" i="37"/>
  <c r="J169" i="37" s="1"/>
  <c r="J104" i="37"/>
  <c r="J174" i="37" s="1"/>
  <c r="J108" i="37"/>
  <c r="J178" i="37" s="1"/>
  <c r="J112" i="37"/>
  <c r="J182" i="37" s="1"/>
  <c r="J116" i="37"/>
  <c r="J151" i="37" s="1"/>
  <c r="J95" i="37"/>
  <c r="J165" i="37" s="1"/>
  <c r="J100" i="37"/>
  <c r="J170" i="37" s="1"/>
  <c r="J105" i="37"/>
  <c r="J175" i="37" s="1"/>
  <c r="J109" i="37"/>
  <c r="J179" i="37" s="1"/>
  <c r="J113" i="37"/>
  <c r="J183" i="37" s="1"/>
  <c r="J91" i="37"/>
  <c r="J161" i="37" s="1"/>
  <c r="J96" i="37"/>
  <c r="J166" i="37" s="1"/>
  <c r="J102" i="37"/>
  <c r="J172" i="37" s="1"/>
  <c r="J110" i="37"/>
  <c r="J180" i="37" s="1"/>
  <c r="J97" i="37"/>
  <c r="J167" i="37" s="1"/>
  <c r="J111" i="37"/>
  <c r="J181" i="37" s="1"/>
  <c r="J106" i="37"/>
  <c r="J176" i="37" s="1"/>
  <c r="J89" i="37"/>
  <c r="J159" i="37" s="1"/>
  <c r="J115" i="37"/>
  <c r="J185" i="37" s="1"/>
  <c r="J114" i="37"/>
  <c r="J184" i="37" s="1"/>
  <c r="J88" i="37"/>
  <c r="J158" i="37" s="1"/>
  <c r="K422" i="40"/>
  <c r="K591" i="40" s="1"/>
  <c r="J770" i="40"/>
  <c r="L387" i="40"/>
  <c r="L556" i="40" s="1"/>
  <c r="K735" i="40"/>
  <c r="K904" i="40" s="1"/>
  <c r="M450" i="40"/>
  <c r="M619" i="40" s="1"/>
  <c r="L798" i="40"/>
  <c r="L967" i="40" s="1"/>
  <c r="N495" i="40"/>
  <c r="N664" i="40" s="1"/>
  <c r="M843" i="40"/>
  <c r="K195" i="41"/>
  <c r="K210" i="41"/>
  <c r="K218" i="41"/>
  <c r="K198" i="41"/>
  <c r="K205" i="41"/>
  <c r="K213" i="41"/>
  <c r="K193" i="41"/>
  <c r="K208" i="41"/>
  <c r="K189" i="41"/>
  <c r="K199" i="41"/>
  <c r="K206" i="41"/>
  <c r="K214" i="41"/>
  <c r="K194" i="41"/>
  <c r="K209" i="41"/>
  <c r="K217" i="41"/>
  <c r="K197" i="41"/>
  <c r="K204" i="41"/>
  <c r="K219" i="41"/>
  <c r="K224" i="41"/>
  <c r="K227" i="41"/>
  <c r="K234" i="41"/>
  <c r="K242" i="41"/>
  <c r="K250" i="41"/>
  <c r="K258" i="41"/>
  <c r="K266" i="41"/>
  <c r="K274" i="41"/>
  <c r="K282" i="41"/>
  <c r="K211" i="41"/>
  <c r="K220" i="41"/>
  <c r="K237" i="41"/>
  <c r="K245" i="41"/>
  <c r="K253" i="41"/>
  <c r="K261" i="41"/>
  <c r="K221" i="41"/>
  <c r="K225" i="41"/>
  <c r="K232" i="41"/>
  <c r="K240" i="41"/>
  <c r="K248" i="41"/>
  <c r="K256" i="41"/>
  <c r="K264" i="41"/>
  <c r="K272" i="41"/>
  <c r="K190" i="41"/>
  <c r="K196" i="41"/>
  <c r="K203" i="41"/>
  <c r="K216" i="41"/>
  <c r="K228" i="41"/>
  <c r="K235" i="41"/>
  <c r="K243" i="41"/>
  <c r="K251" i="41"/>
  <c r="K259" i="41"/>
  <c r="K267" i="41"/>
  <c r="K275" i="41"/>
  <c r="K283" i="41"/>
  <c r="K238" i="41"/>
  <c r="K246" i="41"/>
  <c r="K222" i="41"/>
  <c r="K226" i="41"/>
  <c r="K233" i="41"/>
  <c r="K241" i="41"/>
  <c r="K249" i="41"/>
  <c r="K257" i="41"/>
  <c r="K212" i="41"/>
  <c r="K215" i="41"/>
  <c r="K229" i="41"/>
  <c r="K236" i="41"/>
  <c r="K244" i="41"/>
  <c r="K252" i="41"/>
  <c r="K260" i="41"/>
  <c r="K268" i="41"/>
  <c r="K276" i="41"/>
  <c r="K265" i="41"/>
  <c r="K271" i="41"/>
  <c r="K279" i="41"/>
  <c r="K280" i="41"/>
  <c r="K281" i="41"/>
  <c r="K291" i="41"/>
  <c r="K200" i="41"/>
  <c r="K270" i="41"/>
  <c r="K278" i="41"/>
  <c r="K284" i="41"/>
  <c r="K285" i="41"/>
  <c r="K294" i="41"/>
  <c r="K301" i="41"/>
  <c r="K309" i="41"/>
  <c r="K317" i="41"/>
  <c r="K325" i="41"/>
  <c r="K333" i="41"/>
  <c r="K207" i="41"/>
  <c r="K286" i="41"/>
  <c r="K289" i="41"/>
  <c r="K297" i="41"/>
  <c r="K304" i="41"/>
  <c r="K312" i="41"/>
  <c r="K320" i="41"/>
  <c r="K255" i="41"/>
  <c r="K262" i="41"/>
  <c r="K269" i="41"/>
  <c r="K277" i="41"/>
  <c r="K292" i="41"/>
  <c r="K223" i="41"/>
  <c r="K239" i="41"/>
  <c r="K273" i="41"/>
  <c r="K287" i="41"/>
  <c r="K295" i="41"/>
  <c r="K302" i="41"/>
  <c r="K310" i="41"/>
  <c r="K318" i="41"/>
  <c r="K326" i="41"/>
  <c r="K334" i="41"/>
  <c r="K247" i="41"/>
  <c r="K293" i="41"/>
  <c r="K308" i="41"/>
  <c r="K316" i="41"/>
  <c r="K298" i="41"/>
  <c r="K311" i="41"/>
  <c r="K319" i="41"/>
  <c r="K329" i="41"/>
  <c r="K336" i="41"/>
  <c r="K344" i="41"/>
  <c r="K352" i="41"/>
  <c r="K254" i="41"/>
  <c r="K296" i="41"/>
  <c r="K307" i="41"/>
  <c r="K315" i="41"/>
  <c r="K339" i="41"/>
  <c r="K347" i="41"/>
  <c r="K330" i="41"/>
  <c r="K331" i="41"/>
  <c r="K332" i="41"/>
  <c r="K342" i="41"/>
  <c r="K350" i="41"/>
  <c r="K337" i="41"/>
  <c r="K345" i="41"/>
  <c r="K353" i="41"/>
  <c r="K290" i="41"/>
  <c r="K314" i="41"/>
  <c r="K340" i="41"/>
  <c r="K348" i="41"/>
  <c r="K263" i="41"/>
  <c r="K303" i="41"/>
  <c r="K306" i="41"/>
  <c r="K313" i="41"/>
  <c r="K335" i="41"/>
  <c r="K343" i="41"/>
  <c r="K351" i="41"/>
  <c r="K288" i="41"/>
  <c r="K321" i="41"/>
  <c r="K323" i="41"/>
  <c r="K324" i="41"/>
  <c r="K338" i="41"/>
  <c r="K346" i="41"/>
  <c r="K305" i="41"/>
  <c r="K328" i="41"/>
  <c r="K341" i="41"/>
  <c r="K349" i="41"/>
  <c r="K322" i="41"/>
  <c r="K327" i="41"/>
  <c r="J960" i="40"/>
  <c r="M81" i="16"/>
  <c r="M172" i="16" s="1"/>
  <c r="K872" i="40"/>
  <c r="H118" i="16"/>
  <c r="H148" i="16"/>
  <c r="L507" i="40"/>
  <c r="L676" i="40" s="1"/>
  <c r="K855" i="40"/>
  <c r="M74" i="16"/>
  <c r="L463" i="40"/>
  <c r="L632" i="40" s="1"/>
  <c r="K811" i="40"/>
  <c r="K980" i="40" s="1"/>
  <c r="J904" i="40"/>
  <c r="L484" i="40"/>
  <c r="L653" i="40" s="1"/>
  <c r="K832" i="40"/>
  <c r="K1001" i="40" s="1"/>
  <c r="G88" i="37"/>
  <c r="G158" i="37" s="1"/>
  <c r="G96" i="37"/>
  <c r="G166" i="37" s="1"/>
  <c r="G105" i="37"/>
  <c r="G175" i="37" s="1"/>
  <c r="G113" i="37"/>
  <c r="G183" i="37" s="1"/>
  <c r="G93" i="37"/>
  <c r="G163" i="37" s="1"/>
  <c r="G102" i="37"/>
  <c r="G172" i="37" s="1"/>
  <c r="G110" i="37"/>
  <c r="G180" i="37" s="1"/>
  <c r="G90" i="37"/>
  <c r="G160" i="37" s="1"/>
  <c r="G94" i="37"/>
  <c r="G164" i="37" s="1"/>
  <c r="G98" i="37"/>
  <c r="G168" i="37" s="1"/>
  <c r="G103" i="37"/>
  <c r="G173" i="37" s="1"/>
  <c r="G107" i="37"/>
  <c r="G177" i="37" s="1"/>
  <c r="G111" i="37"/>
  <c r="G181" i="37" s="1"/>
  <c r="G115" i="37"/>
  <c r="G185" i="37" s="1"/>
  <c r="G87" i="37"/>
  <c r="G104" i="37"/>
  <c r="G174" i="37" s="1"/>
  <c r="G91" i="37"/>
  <c r="G161" i="37" s="1"/>
  <c r="G108" i="37"/>
  <c r="G178" i="37" s="1"/>
  <c r="G95" i="37"/>
  <c r="G165" i="37" s="1"/>
  <c r="G112" i="37"/>
  <c r="G182" i="37" s="1"/>
  <c r="G99" i="37"/>
  <c r="G169" i="37" s="1"/>
  <c r="G116" i="37"/>
  <c r="G151" i="37" s="1"/>
  <c r="G100" i="37"/>
  <c r="G170" i="37" s="1"/>
  <c r="G114" i="37"/>
  <c r="G184" i="37" s="1"/>
  <c r="G97" i="37"/>
  <c r="G167" i="37" s="1"/>
  <c r="G109" i="37"/>
  <c r="G179" i="37" s="1"/>
  <c r="G92" i="37"/>
  <c r="G162" i="37" s="1"/>
  <c r="G106" i="37"/>
  <c r="G176" i="37" s="1"/>
  <c r="G89" i="37"/>
  <c r="G159" i="37" s="1"/>
  <c r="I1020" i="40"/>
  <c r="L81" i="16"/>
  <c r="L172" i="16" s="1"/>
  <c r="J973" i="40"/>
  <c r="I973" i="40"/>
  <c r="K968" i="40"/>
  <c r="I79" i="16"/>
  <c r="I162" i="16" s="1"/>
  <c r="O80" i="16"/>
  <c r="L447" i="40"/>
  <c r="L616" i="40" s="1"/>
  <c r="K795" i="40"/>
  <c r="K964" i="40" s="1"/>
  <c r="K949" i="40"/>
  <c r="I905" i="40"/>
  <c r="N359" i="40"/>
  <c r="N528" i="40" s="1"/>
  <c r="M707" i="40"/>
  <c r="M876" i="40" s="1"/>
  <c r="M193" i="37"/>
  <c r="L560" i="40"/>
  <c r="J380" i="40"/>
  <c r="J549" i="40" s="1"/>
  <c r="I728" i="40"/>
  <c r="K406" i="40"/>
  <c r="K575" i="40" s="1"/>
  <c r="J754" i="40"/>
  <c r="J923" i="40" s="1"/>
  <c r="L390" i="40"/>
  <c r="L559" i="40" s="1"/>
  <c r="K738" i="40"/>
  <c r="K907" i="40" s="1"/>
  <c r="L523" i="40"/>
  <c r="K702" i="40"/>
  <c r="K871" i="40" s="1"/>
  <c r="L505" i="40"/>
  <c r="L674" i="40" s="1"/>
  <c r="K853" i="40"/>
  <c r="K1022" i="40" s="1"/>
  <c r="M496" i="40"/>
  <c r="M665" i="40" s="1"/>
  <c r="L844" i="40"/>
  <c r="L1013" i="40" s="1"/>
  <c r="L438" i="40"/>
  <c r="L607" i="40" s="1"/>
  <c r="K786" i="40"/>
  <c r="J418" i="40"/>
  <c r="J587" i="40" s="1"/>
  <c r="I766" i="40"/>
  <c r="L80" i="16"/>
  <c r="L703" i="40"/>
  <c r="L872" i="40" s="1"/>
  <c r="M524" i="40"/>
  <c r="L544" i="40"/>
  <c r="J368" i="40"/>
  <c r="J537" i="40" s="1"/>
  <c r="I716" i="40"/>
  <c r="K997" i="40"/>
  <c r="L950" i="40"/>
  <c r="K80" i="16"/>
  <c r="I931" i="40"/>
  <c r="L611" i="40"/>
  <c r="N119" i="16"/>
  <c r="N168" i="16"/>
  <c r="L876" i="40"/>
  <c r="K924" i="40"/>
  <c r="I78" i="16"/>
  <c r="O79" i="16"/>
  <c r="O162" i="16" s="1"/>
  <c r="J976" i="40"/>
  <c r="H87" i="37"/>
  <c r="H95" i="37"/>
  <c r="H165" i="37" s="1"/>
  <c r="H104" i="37"/>
  <c r="H174" i="37" s="1"/>
  <c r="H112" i="37"/>
  <c r="H182" i="37" s="1"/>
  <c r="H92" i="37"/>
  <c r="H162" i="37" s="1"/>
  <c r="H100" i="37"/>
  <c r="H170" i="37" s="1"/>
  <c r="H109" i="37"/>
  <c r="H179" i="37" s="1"/>
  <c r="H89" i="37"/>
  <c r="H159" i="37" s="1"/>
  <c r="H93" i="37"/>
  <c r="H163" i="37" s="1"/>
  <c r="H97" i="37"/>
  <c r="H167" i="37" s="1"/>
  <c r="H102" i="37"/>
  <c r="H172" i="37" s="1"/>
  <c r="H106" i="37"/>
  <c r="H176" i="37" s="1"/>
  <c r="H110" i="37"/>
  <c r="H180" i="37" s="1"/>
  <c r="H114" i="37"/>
  <c r="H184" i="37" s="1"/>
  <c r="H115" i="37"/>
  <c r="H185" i="37" s="1"/>
  <c r="H94" i="37"/>
  <c r="H164" i="37" s="1"/>
  <c r="H107" i="37"/>
  <c r="H177" i="37" s="1"/>
  <c r="H98" i="37"/>
  <c r="H168" i="37" s="1"/>
  <c r="H111" i="37"/>
  <c r="H181" i="37" s="1"/>
  <c r="H90" i="37"/>
  <c r="H160" i="37" s="1"/>
  <c r="H103" i="37"/>
  <c r="H173" i="37" s="1"/>
  <c r="H105" i="37"/>
  <c r="H175" i="37" s="1"/>
  <c r="H116" i="37"/>
  <c r="H151" i="37" s="1"/>
  <c r="H99" i="37"/>
  <c r="H169" i="37" s="1"/>
  <c r="H96" i="37"/>
  <c r="H166" i="37" s="1"/>
  <c r="H113" i="37"/>
  <c r="H183" i="37" s="1"/>
  <c r="H108" i="37"/>
  <c r="H178" i="37" s="1"/>
  <c r="H91" i="37"/>
  <c r="H161" i="37" s="1"/>
  <c r="H88" i="37"/>
  <c r="H158" i="37" s="1"/>
  <c r="L1019" i="40"/>
  <c r="M1027" i="40"/>
  <c r="N471" i="40"/>
  <c r="N640" i="40" s="1"/>
  <c r="M819" i="40"/>
  <c r="N514" i="40"/>
  <c r="N683" i="40" s="1"/>
  <c r="M862" i="40"/>
  <c r="M1031" i="40" s="1"/>
  <c r="N404" i="40"/>
  <c r="N573" i="40" s="1"/>
  <c r="M752" i="40"/>
  <c r="L902" i="40"/>
  <c r="J119" i="16"/>
  <c r="J168" i="16"/>
  <c r="L397" i="40"/>
  <c r="L566" i="40" s="1"/>
  <c r="K745" i="40"/>
  <c r="L58" i="16"/>
  <c r="L72" i="16"/>
  <c r="M73" i="16"/>
  <c r="M142" i="16" s="1"/>
  <c r="M75" i="16"/>
  <c r="M152" i="16" s="1"/>
  <c r="L383" i="40"/>
  <c r="L552" i="40" s="1"/>
  <c r="K731" i="40"/>
  <c r="K414" i="40"/>
  <c r="K583" i="40" s="1"/>
  <c r="J762" i="40"/>
  <c r="J931" i="40" s="1"/>
  <c r="M439" i="40"/>
  <c r="M608" i="40" s="1"/>
  <c r="L787" i="40"/>
  <c r="J113" i="16"/>
  <c r="J158" i="16"/>
  <c r="H82" i="37"/>
  <c r="M446" i="40"/>
  <c r="M615" i="40" s="1"/>
  <c r="L794" i="40"/>
  <c r="L963" i="40" s="1"/>
  <c r="I895" i="40"/>
  <c r="I953" i="40"/>
  <c r="L79" i="16"/>
  <c r="L162" i="16" s="1"/>
  <c r="M978" i="40"/>
  <c r="L1023" i="40"/>
  <c r="J940" i="40"/>
  <c r="N518" i="40"/>
  <c r="N687" i="40"/>
  <c r="M866" i="40"/>
  <c r="M1035" i="40" s="1"/>
  <c r="K938" i="40"/>
  <c r="J922" i="40"/>
  <c r="L452" i="40"/>
  <c r="L621" i="40" s="1"/>
  <c r="K800" i="40"/>
  <c r="K916" i="40"/>
  <c r="K990" i="40"/>
  <c r="J1032" i="40"/>
  <c r="N79" i="16"/>
  <c r="N162" i="16" s="1"/>
  <c r="M424" i="40"/>
  <c r="M593" i="40" s="1"/>
  <c r="L772" i="40"/>
  <c r="L941" i="40" s="1"/>
  <c r="L498" i="40"/>
  <c r="L667" i="40" s="1"/>
  <c r="K846" i="40"/>
  <c r="M377" i="40"/>
  <c r="M546" i="40" s="1"/>
  <c r="L725" i="40"/>
  <c r="M516" i="40"/>
  <c r="M685" i="40" s="1"/>
  <c r="L864" i="40"/>
  <c r="L1033" i="40" s="1"/>
  <c r="L425" i="40"/>
  <c r="L594" i="40" s="1"/>
  <c r="K773" i="40"/>
  <c r="K942" i="40" s="1"/>
  <c r="O158" i="16"/>
  <c r="K1010" i="40"/>
  <c r="J58" i="16"/>
  <c r="J72" i="16"/>
  <c r="K73" i="16"/>
  <c r="K142" i="16" s="1"/>
  <c r="K75" i="16"/>
  <c r="K152" i="16" s="1"/>
  <c r="L381" i="40"/>
  <c r="L550" i="40" s="1"/>
  <c r="K729" i="40"/>
  <c r="O413" i="40"/>
  <c r="O582" i="40" s="1"/>
  <c r="N761" i="40"/>
  <c r="N930" i="40" s="1"/>
  <c r="M472" i="40"/>
  <c r="M641" i="40" s="1"/>
  <c r="L820" i="40"/>
  <c r="J1022" i="40"/>
  <c r="K944" i="40"/>
  <c r="J898" i="40"/>
  <c r="J927" i="40"/>
  <c r="I909" i="40"/>
  <c r="K398" i="40"/>
  <c r="J746" i="40"/>
  <c r="M455" i="40"/>
  <c r="M624" i="40" s="1"/>
  <c r="L803" i="40"/>
  <c r="L972" i="40" s="1"/>
  <c r="K636" i="40"/>
  <c r="J975" i="40"/>
  <c r="N491" i="40"/>
  <c r="N660" i="40" s="1"/>
  <c r="M839" i="40"/>
  <c r="M1008" i="40" s="1"/>
  <c r="L1016" i="40"/>
  <c r="J993" i="40"/>
  <c r="J1017" i="40"/>
  <c r="L462" i="40"/>
  <c r="L631" i="40" s="1"/>
  <c r="K810" i="40"/>
  <c r="K979" i="40" s="1"/>
  <c r="K951" i="40"/>
  <c r="L629" i="40"/>
  <c r="L460" i="40"/>
  <c r="K808" i="40"/>
  <c r="K977" i="40" s="1"/>
  <c r="N479" i="40"/>
  <c r="N648" i="40" s="1"/>
  <c r="M827" i="40"/>
  <c r="J362" i="40"/>
  <c r="J531" i="40" s="1"/>
  <c r="I710" i="40"/>
  <c r="J372" i="40"/>
  <c r="J541" i="40" s="1"/>
  <c r="I720" i="40"/>
  <c r="L443" i="40"/>
  <c r="L612" i="40" s="1"/>
  <c r="K791" i="40"/>
  <c r="M427" i="40"/>
  <c r="M596" i="40" s="1"/>
  <c r="L775" i="40"/>
  <c r="L944" i="40" s="1"/>
  <c r="L988" i="40"/>
  <c r="N509" i="40"/>
  <c r="N678" i="40" s="1"/>
  <c r="M857" i="40"/>
  <c r="N487" i="40"/>
  <c r="N656" i="40" s="1"/>
  <c r="M835" i="40"/>
  <c r="J547" i="40"/>
  <c r="M35" i="10"/>
  <c r="K673" i="40"/>
  <c r="K957" i="40"/>
  <c r="L445" i="40"/>
  <c r="L614" i="40" s="1"/>
  <c r="K793" i="40"/>
  <c r="J605" i="40"/>
  <c r="L78" i="16"/>
  <c r="K540" i="40"/>
  <c r="H58" i="16"/>
  <c r="H72" i="16"/>
  <c r="I73" i="16"/>
  <c r="I142" i="16" s="1"/>
  <c r="I75" i="16"/>
  <c r="I152" i="16" s="1"/>
  <c r="M80" i="16"/>
  <c r="J917" i="40"/>
  <c r="I877" i="40"/>
  <c r="L658" i="40"/>
  <c r="K574" i="40"/>
  <c r="L363" i="40"/>
  <c r="L532" i="40" s="1"/>
  <c r="K711" i="40"/>
  <c r="L598" i="40"/>
  <c r="J928" i="40"/>
  <c r="I928" i="40"/>
  <c r="K78" i="16"/>
  <c r="L659" i="40"/>
  <c r="N158" i="16"/>
  <c r="K555" i="40"/>
  <c r="J1015" i="40"/>
  <c r="J987" i="40"/>
  <c r="L1018" i="40"/>
  <c r="N204" i="37"/>
  <c r="O74" i="16"/>
  <c r="L361" i="40"/>
  <c r="L530" i="40" s="1"/>
  <c r="K709" i="40"/>
  <c r="K81" i="16"/>
  <c r="K172" i="16" s="1"/>
  <c r="I891" i="40"/>
  <c r="J911" i="40"/>
  <c r="L534" i="40"/>
  <c r="L929" i="40"/>
  <c r="K533" i="40"/>
  <c r="L577" i="40"/>
  <c r="L643" i="40"/>
  <c r="M686" i="40"/>
  <c r="L610" i="40"/>
  <c r="L604" i="40"/>
  <c r="L652" i="40"/>
  <c r="L910" i="40"/>
  <c r="N416" i="40" l="1"/>
  <c r="N585" i="40" s="1"/>
  <c r="M764" i="40"/>
  <c r="M933" i="40" s="1"/>
  <c r="L934" i="40"/>
  <c r="H183" i="16"/>
  <c r="N417" i="40"/>
  <c r="N586" i="40" s="1"/>
  <c r="M765" i="40"/>
  <c r="M934" i="40" s="1"/>
  <c r="L118" i="16"/>
  <c r="O113" i="16"/>
  <c r="H119" i="16"/>
  <c r="H120" i="16" s="1"/>
  <c r="H121" i="16" s="1"/>
  <c r="O479" i="40"/>
  <c r="O648" i="40" s="1"/>
  <c r="N827" i="40"/>
  <c r="N446" i="40"/>
  <c r="N615" i="40" s="1"/>
  <c r="M794" i="40"/>
  <c r="M963" i="40" s="1"/>
  <c r="M498" i="40"/>
  <c r="M667" i="40" s="1"/>
  <c r="L846" i="40"/>
  <c r="L1015" i="40" s="1"/>
  <c r="N424" i="40"/>
  <c r="N593" i="40" s="1"/>
  <c r="M772" i="40"/>
  <c r="M941" i="40" s="1"/>
  <c r="K368" i="40"/>
  <c r="K537" i="40" s="1"/>
  <c r="J716" i="40"/>
  <c r="J885" i="40" s="1"/>
  <c r="N511" i="40"/>
  <c r="N680" i="40" s="1"/>
  <c r="M859" i="40"/>
  <c r="M1028" i="40" s="1"/>
  <c r="N385" i="40"/>
  <c r="N554" i="40" s="1"/>
  <c r="M733" i="40"/>
  <c r="N389" i="40"/>
  <c r="N558" i="40" s="1"/>
  <c r="M737" i="40"/>
  <c r="M906" i="40" s="1"/>
  <c r="M432" i="40"/>
  <c r="M601" i="40" s="1"/>
  <c r="L780" i="40"/>
  <c r="L949" i="40" s="1"/>
  <c r="M361" i="40"/>
  <c r="M530" i="40" s="1"/>
  <c r="L709" i="40"/>
  <c r="L878" i="40" s="1"/>
  <c r="M363" i="40"/>
  <c r="M532" i="40" s="1"/>
  <c r="L711" i="40"/>
  <c r="L880" i="40" s="1"/>
  <c r="O491" i="40"/>
  <c r="O660" i="40" s="1"/>
  <c r="N839" i="40"/>
  <c r="N1008" i="40" s="1"/>
  <c r="N472" i="40"/>
  <c r="N641" i="40" s="1"/>
  <c r="M820" i="40"/>
  <c r="M989" i="40" s="1"/>
  <c r="N516" i="40"/>
  <c r="N685" i="40" s="1"/>
  <c r="M864" i="40"/>
  <c r="M1033" i="40" s="1"/>
  <c r="O471" i="40"/>
  <c r="O640" i="40" s="1"/>
  <c r="N819" i="40"/>
  <c r="N988" i="40" s="1"/>
  <c r="N501" i="40"/>
  <c r="N670" i="40" s="1"/>
  <c r="M849" i="40"/>
  <c r="M448" i="40"/>
  <c r="M617" i="40" s="1"/>
  <c r="L796" i="40"/>
  <c r="L965" i="40" s="1"/>
  <c r="M459" i="40"/>
  <c r="M628" i="40" s="1"/>
  <c r="L807" i="40"/>
  <c r="L976" i="40" s="1"/>
  <c r="M468" i="40"/>
  <c r="M637" i="40" s="1"/>
  <c r="L816" i="40"/>
  <c r="L985" i="40" s="1"/>
  <c r="L456" i="40"/>
  <c r="L625" i="40" s="1"/>
  <c r="K804" i="40"/>
  <c r="M462" i="40"/>
  <c r="M631" i="40" s="1"/>
  <c r="L810" i="40"/>
  <c r="L979" i="40" s="1"/>
  <c r="P413" i="40"/>
  <c r="F413" i="40" s="1"/>
  <c r="O761" i="40"/>
  <c r="O404" i="40"/>
  <c r="O573" i="40" s="1"/>
  <c r="N752" i="40"/>
  <c r="N921" i="40" s="1"/>
  <c r="M507" i="40"/>
  <c r="M676" i="40" s="1"/>
  <c r="L855" i="40"/>
  <c r="L1024" i="40" s="1"/>
  <c r="N473" i="40"/>
  <c r="N642" i="40" s="1"/>
  <c r="M821" i="40"/>
  <c r="L411" i="40"/>
  <c r="L580" i="40" s="1"/>
  <c r="K759" i="40"/>
  <c r="K928" i="40" s="1"/>
  <c r="M379" i="40"/>
  <c r="M548" i="40" s="1"/>
  <c r="L727" i="40"/>
  <c r="L896" i="40" s="1"/>
  <c r="M403" i="40"/>
  <c r="M572" i="40" s="1"/>
  <c r="L751" i="40"/>
  <c r="L920" i="40" s="1"/>
  <c r="M458" i="40"/>
  <c r="M627" i="40" s="1"/>
  <c r="L806" i="40"/>
  <c r="L975" i="40" s="1"/>
  <c r="O499" i="40"/>
  <c r="O668" i="40" s="1"/>
  <c r="N847" i="40"/>
  <c r="N1016" i="40" s="1"/>
  <c r="M445" i="40"/>
  <c r="M614" i="40" s="1"/>
  <c r="L793" i="40"/>
  <c r="L962" i="40" s="1"/>
  <c r="M443" i="40"/>
  <c r="M612" i="40" s="1"/>
  <c r="L791" i="40"/>
  <c r="L960" i="40" s="1"/>
  <c r="M484" i="40"/>
  <c r="M653" i="40" s="1"/>
  <c r="L832" i="40"/>
  <c r="O409" i="40"/>
  <c r="O578" i="40" s="1"/>
  <c r="N757" i="40"/>
  <c r="N926" i="40" s="1"/>
  <c r="O461" i="40"/>
  <c r="O630" i="40" s="1"/>
  <c r="N809" i="40"/>
  <c r="N978" i="40" s="1"/>
  <c r="L469" i="40"/>
  <c r="L638" i="40" s="1"/>
  <c r="K817" i="40"/>
  <c r="N393" i="40"/>
  <c r="N562" i="40" s="1"/>
  <c r="M741" i="40"/>
  <c r="M370" i="40"/>
  <c r="M539" i="40" s="1"/>
  <c r="L718" i="40"/>
  <c r="L887" i="40" s="1"/>
  <c r="L388" i="40"/>
  <c r="K736" i="40"/>
  <c r="N439" i="40"/>
  <c r="N608" i="40" s="1"/>
  <c r="M787" i="40"/>
  <c r="M956" i="40" s="1"/>
  <c r="M423" i="40"/>
  <c r="M592" i="40" s="1"/>
  <c r="L771" i="40"/>
  <c r="L940" i="40" s="1"/>
  <c r="L738" i="40"/>
  <c r="L907" i="40" s="1"/>
  <c r="M390" i="40"/>
  <c r="M559" i="40" s="1"/>
  <c r="N455" i="40"/>
  <c r="N624" i="40" s="1"/>
  <c r="M803" i="40"/>
  <c r="O514" i="40"/>
  <c r="O683" i="40" s="1"/>
  <c r="N862" i="40"/>
  <c r="N1031" i="40" s="1"/>
  <c r="M447" i="40"/>
  <c r="M616" i="40" s="1"/>
  <c r="L795" i="40"/>
  <c r="L964" i="40" s="1"/>
  <c r="M387" i="40"/>
  <c r="M556" i="40" s="1"/>
  <c r="L735" i="40"/>
  <c r="L904" i="40" s="1"/>
  <c r="L360" i="40"/>
  <c r="L529" i="40" s="1"/>
  <c r="K708" i="40"/>
  <c r="K877" i="40" s="1"/>
  <c r="O513" i="40"/>
  <c r="O682" i="40" s="1"/>
  <c r="N861" i="40"/>
  <c r="N1030" i="40" s="1"/>
  <c r="M400" i="40"/>
  <c r="M569" i="40" s="1"/>
  <c r="L748" i="40"/>
  <c r="N506" i="40"/>
  <c r="N675" i="40" s="1"/>
  <c r="M854" i="40"/>
  <c r="M1023" i="40" s="1"/>
  <c r="N502" i="40"/>
  <c r="N671" i="40" s="1"/>
  <c r="M850" i="40"/>
  <c r="M1019" i="40" s="1"/>
  <c r="M420" i="40"/>
  <c r="M589" i="40" s="1"/>
  <c r="L768" i="40"/>
  <c r="M444" i="40"/>
  <c r="M613" i="40" s="1"/>
  <c r="L792" i="40"/>
  <c r="L961" i="40" s="1"/>
  <c r="M470" i="40"/>
  <c r="M639" i="40" s="1"/>
  <c r="L818" i="40"/>
  <c r="L987" i="40" s="1"/>
  <c r="M425" i="40"/>
  <c r="M594" i="40" s="1"/>
  <c r="L773" i="40"/>
  <c r="L942" i="40" s="1"/>
  <c r="M452" i="40"/>
  <c r="M621" i="40" s="1"/>
  <c r="L800" i="40"/>
  <c r="L969" i="40" s="1"/>
  <c r="M383" i="40"/>
  <c r="M552" i="40" s="1"/>
  <c r="L731" i="40"/>
  <c r="L900" i="40" s="1"/>
  <c r="M497" i="40"/>
  <c r="M666" i="40" s="1"/>
  <c r="L845" i="40"/>
  <c r="L1014" i="40" s="1"/>
  <c r="N399" i="40"/>
  <c r="N568" i="40" s="1"/>
  <c r="M747" i="40"/>
  <c r="M369" i="40"/>
  <c r="M538" i="40" s="1"/>
  <c r="L717" i="40"/>
  <c r="L886" i="40" s="1"/>
  <c r="L503" i="40"/>
  <c r="L672" i="40" s="1"/>
  <c r="K851" i="40"/>
  <c r="K1020" i="40" s="1"/>
  <c r="N377" i="40"/>
  <c r="N546" i="40" s="1"/>
  <c r="M725" i="40"/>
  <c r="K955" i="40"/>
  <c r="M483" i="40"/>
  <c r="M652" i="40" s="1"/>
  <c r="L831" i="40"/>
  <c r="N517" i="40"/>
  <c r="N686" i="40" s="1"/>
  <c r="M865" i="40"/>
  <c r="N113" i="16"/>
  <c r="M474" i="40"/>
  <c r="M643" i="40" s="1"/>
  <c r="L822" i="40"/>
  <c r="K962" i="40"/>
  <c r="N35" i="10"/>
  <c r="I879" i="40"/>
  <c r="M408" i="40"/>
  <c r="M577" i="40" s="1"/>
  <c r="L756" i="40"/>
  <c r="M490" i="40"/>
  <c r="M659" i="40" s="1"/>
  <c r="L838" i="40"/>
  <c r="K378" i="40"/>
  <c r="K547" i="40" s="1"/>
  <c r="J726" i="40"/>
  <c r="J112" i="16"/>
  <c r="J114" i="16" s="1"/>
  <c r="J115" i="16" s="1"/>
  <c r="J138" i="16"/>
  <c r="H117" i="37"/>
  <c r="H39" i="37" s="1"/>
  <c r="H157" i="37"/>
  <c r="K1015" i="40"/>
  <c r="L119" i="16"/>
  <c r="L168" i="16"/>
  <c r="M421" i="40"/>
  <c r="M590" i="40" s="1"/>
  <c r="L769" i="40"/>
  <c r="K112" i="16"/>
  <c r="K138" i="16"/>
  <c r="K157" i="37"/>
  <c r="K117" i="37"/>
  <c r="K39" i="37" s="1"/>
  <c r="K384" i="40"/>
  <c r="K553" i="40" s="1"/>
  <c r="J732" i="40"/>
  <c r="K358" i="40"/>
  <c r="K527" i="40" s="1"/>
  <c r="J706" i="40"/>
  <c r="J689" i="40"/>
  <c r="N407" i="40"/>
  <c r="N576" i="40" s="1"/>
  <c r="M755" i="40"/>
  <c r="M924" i="40" s="1"/>
  <c r="N415" i="40"/>
  <c r="N584" i="40" s="1"/>
  <c r="M763" i="40"/>
  <c r="M932" i="40" s="1"/>
  <c r="O475" i="40"/>
  <c r="O644" i="40" s="1"/>
  <c r="N823" i="40"/>
  <c r="H152" i="37"/>
  <c r="I193" i="37"/>
  <c r="J118" i="16"/>
  <c r="J120" i="16" s="1"/>
  <c r="J121" i="16" s="1"/>
  <c r="J148" i="16"/>
  <c r="M428" i="40"/>
  <c r="M597" i="40" s="1"/>
  <c r="L776" i="40"/>
  <c r="L945" i="40" s="1"/>
  <c r="L113" i="16"/>
  <c r="L158" i="16"/>
  <c r="L406" i="40"/>
  <c r="L575" i="40" s="1"/>
  <c r="K754" i="40"/>
  <c r="K923" i="40" s="1"/>
  <c r="K426" i="40"/>
  <c r="K595" i="40" s="1"/>
  <c r="J774" i="40"/>
  <c r="N493" i="40"/>
  <c r="N662" i="40" s="1"/>
  <c r="M841" i="40"/>
  <c r="M1010" i="40" s="1"/>
  <c r="K878" i="40"/>
  <c r="L364" i="40"/>
  <c r="L533" i="40" s="1"/>
  <c r="K712" i="40"/>
  <c r="O118" i="16"/>
  <c r="O148" i="16"/>
  <c r="K113" i="16"/>
  <c r="K158" i="16"/>
  <c r="M119" i="16"/>
  <c r="M168" i="16"/>
  <c r="L371" i="40"/>
  <c r="L540" i="40" s="1"/>
  <c r="K719" i="40"/>
  <c r="K362" i="40"/>
  <c r="K531" i="40" s="1"/>
  <c r="J710" i="40"/>
  <c r="J879" i="40" s="1"/>
  <c r="M460" i="40"/>
  <c r="M629" i="40" s="1"/>
  <c r="L808" i="40"/>
  <c r="L977" i="40" s="1"/>
  <c r="K975" i="40"/>
  <c r="I113" i="16"/>
  <c r="I158" i="16"/>
  <c r="M1004" i="40"/>
  <c r="K380" i="40"/>
  <c r="K549" i="40" s="1"/>
  <c r="J728" i="40"/>
  <c r="J897" i="40" s="1"/>
  <c r="O359" i="40"/>
  <c r="O528" i="40" s="1"/>
  <c r="N707" i="40"/>
  <c r="N876" i="40" s="1"/>
  <c r="M463" i="40"/>
  <c r="M632" i="40" s="1"/>
  <c r="L811" i="40"/>
  <c r="L980" i="40" s="1"/>
  <c r="M194" i="37"/>
  <c r="M202" i="37" s="1"/>
  <c r="M204" i="37" s="1"/>
  <c r="O112" i="16"/>
  <c r="O114" i="16" s="1"/>
  <c r="O115" i="16" s="1"/>
  <c r="O138" i="16"/>
  <c r="K152" i="37"/>
  <c r="L193" i="37"/>
  <c r="I59" i="37"/>
  <c r="I68" i="37"/>
  <c r="I76" i="37"/>
  <c r="I54" i="37"/>
  <c r="I62" i="37"/>
  <c r="I71" i="37"/>
  <c r="I79" i="37"/>
  <c r="I56" i="37"/>
  <c r="I64" i="37"/>
  <c r="I81" i="37"/>
  <c r="I53" i="37"/>
  <c r="I78" i="37"/>
  <c r="I57" i="37"/>
  <c r="I65" i="37"/>
  <c r="I74" i="37"/>
  <c r="I58" i="37"/>
  <c r="I67" i="37"/>
  <c r="I75" i="37"/>
  <c r="I61" i="37"/>
  <c r="I40" i="37"/>
  <c r="I60" i="37"/>
  <c r="I70" i="37"/>
  <c r="I55" i="37"/>
  <c r="I45" i="37"/>
  <c r="I80" i="37"/>
  <c r="I69" i="37"/>
  <c r="I63" i="37"/>
  <c r="I77" i="37"/>
  <c r="I73" i="37"/>
  <c r="I52" i="37"/>
  <c r="N996" i="40"/>
  <c r="K914" i="40"/>
  <c r="M438" i="40"/>
  <c r="M607" i="40" s="1"/>
  <c r="L786" i="40"/>
  <c r="L971" i="40"/>
  <c r="K1014" i="40"/>
  <c r="M996" i="40"/>
  <c r="N419" i="40"/>
  <c r="N588" i="40" s="1"/>
  <c r="M767" i="40"/>
  <c r="I118" i="16"/>
  <c r="N486" i="40"/>
  <c r="N655" i="40" s="1"/>
  <c r="M834" i="40"/>
  <c r="N454" i="40"/>
  <c r="N623" i="40" s="1"/>
  <c r="M802" i="40"/>
  <c r="M500" i="40"/>
  <c r="L848" i="40"/>
  <c r="L1017" i="40" s="1"/>
  <c r="M435" i="40"/>
  <c r="M604" i="40" s="1"/>
  <c r="L783" i="40"/>
  <c r="M921" i="40"/>
  <c r="H112" i="16"/>
  <c r="H138" i="16"/>
  <c r="L467" i="40"/>
  <c r="L636" i="40" s="1"/>
  <c r="K815" i="40"/>
  <c r="O518" i="40"/>
  <c r="O687" i="40" s="1"/>
  <c r="N866" i="40"/>
  <c r="N1035" i="40" s="1"/>
  <c r="L989" i="40"/>
  <c r="M442" i="40"/>
  <c r="M611" i="40" s="1"/>
  <c r="L790" i="40"/>
  <c r="L994" i="40"/>
  <c r="G117" i="37"/>
  <c r="G39" i="37" s="1"/>
  <c r="G157" i="37"/>
  <c r="H192" i="37" s="1"/>
  <c r="K985" i="40"/>
  <c r="J152" i="37"/>
  <c r="K193" i="37"/>
  <c r="M929" i="40"/>
  <c r="M158" i="16"/>
  <c r="M113" i="16"/>
  <c r="M990" i="40"/>
  <c r="N118" i="16"/>
  <c r="N120" i="16" s="1"/>
  <c r="N121" i="16" s="1"/>
  <c r="N148" i="16"/>
  <c r="M988" i="40"/>
  <c r="M27" i="10"/>
  <c r="L28" i="10"/>
  <c r="L32" i="10" s="1"/>
  <c r="L37" i="10" s="1"/>
  <c r="N7" i="41" s="1"/>
  <c r="N450" i="40"/>
  <c r="N619" i="40" s="1"/>
  <c r="M798" i="40"/>
  <c r="J157" i="37"/>
  <c r="K192" i="37" s="1"/>
  <c r="J117" i="37"/>
  <c r="J39" i="37" s="1"/>
  <c r="M190" i="41"/>
  <c r="M197" i="41"/>
  <c r="M204" i="41"/>
  <c r="M212" i="41"/>
  <c r="M220" i="41"/>
  <c r="M200" i="41"/>
  <c r="M207" i="41"/>
  <c r="M215" i="41"/>
  <c r="M195" i="41"/>
  <c r="M210" i="41"/>
  <c r="M193" i="41"/>
  <c r="M208" i="41"/>
  <c r="M216" i="41"/>
  <c r="M189" i="41"/>
  <c r="M196" i="41"/>
  <c r="M203" i="41"/>
  <c r="M211" i="41"/>
  <c r="M223" i="41"/>
  <c r="M229" i="41"/>
  <c r="M236" i="41"/>
  <c r="M244" i="41"/>
  <c r="M252" i="41"/>
  <c r="M260" i="41"/>
  <c r="M268" i="41"/>
  <c r="M276" i="41"/>
  <c r="M284" i="41"/>
  <c r="M209" i="41"/>
  <c r="M214" i="41"/>
  <c r="M218" i="41"/>
  <c r="M219" i="41"/>
  <c r="M239" i="41"/>
  <c r="M247" i="41"/>
  <c r="M255" i="41"/>
  <c r="M263" i="41"/>
  <c r="M224" i="41"/>
  <c r="M227" i="41"/>
  <c r="M234" i="41"/>
  <c r="M242" i="41"/>
  <c r="M250" i="41"/>
  <c r="M258" i="41"/>
  <c r="M266" i="41"/>
  <c r="M274" i="41"/>
  <c r="M199" i="41"/>
  <c r="M206" i="41"/>
  <c r="M217" i="41"/>
  <c r="M237" i="41"/>
  <c r="M245" i="41"/>
  <c r="M253" i="41"/>
  <c r="M261" i="41"/>
  <c r="M269" i="41"/>
  <c r="M277" i="41"/>
  <c r="M285" i="41"/>
  <c r="M194" i="41"/>
  <c r="M213" i="41"/>
  <c r="M221" i="41"/>
  <c r="M225" i="41"/>
  <c r="M232" i="41"/>
  <c r="M240" i="41"/>
  <c r="M248" i="41"/>
  <c r="M228" i="41"/>
  <c r="M235" i="41"/>
  <c r="M243" i="41"/>
  <c r="M251" i="41"/>
  <c r="M259" i="41"/>
  <c r="M198" i="41"/>
  <c r="M205" i="41"/>
  <c r="M238" i="41"/>
  <c r="M246" i="41"/>
  <c r="M254" i="41"/>
  <c r="M262" i="41"/>
  <c r="M270" i="41"/>
  <c r="M278" i="41"/>
  <c r="M275" i="41"/>
  <c r="M293" i="41"/>
  <c r="M241" i="41"/>
  <c r="M265" i="41"/>
  <c r="M267" i="41"/>
  <c r="M271" i="41"/>
  <c r="M279" i="41"/>
  <c r="M280" i="41"/>
  <c r="M288" i="41"/>
  <c r="M296" i="41"/>
  <c r="M303" i="41"/>
  <c r="M311" i="41"/>
  <c r="M319" i="41"/>
  <c r="M327" i="41"/>
  <c r="M222" i="41"/>
  <c r="M281" i="41"/>
  <c r="M282" i="41"/>
  <c r="M283" i="41"/>
  <c r="M291" i="41"/>
  <c r="M306" i="41"/>
  <c r="M314" i="41"/>
  <c r="M322" i="41"/>
  <c r="M226" i="41"/>
  <c r="M249" i="41"/>
  <c r="M257" i="41"/>
  <c r="M264" i="41"/>
  <c r="M294" i="41"/>
  <c r="M301" i="41"/>
  <c r="M286" i="41"/>
  <c r="M289" i="41"/>
  <c r="M297" i="41"/>
  <c r="M304" i="41"/>
  <c r="M312" i="41"/>
  <c r="M320" i="41"/>
  <c r="M328" i="41"/>
  <c r="M273" i="41"/>
  <c r="M287" i="41"/>
  <c r="M295" i="41"/>
  <c r="M302" i="41"/>
  <c r="M310" i="41"/>
  <c r="M318" i="41"/>
  <c r="M305" i="41"/>
  <c r="M321" i="41"/>
  <c r="M324" i="41"/>
  <c r="M325" i="41"/>
  <c r="M326" i="41"/>
  <c r="M338" i="41"/>
  <c r="M346" i="41"/>
  <c r="M298" i="41"/>
  <c r="M308" i="41"/>
  <c r="M316" i="41"/>
  <c r="M341" i="41"/>
  <c r="M349" i="41"/>
  <c r="M272" i="41"/>
  <c r="M307" i="41"/>
  <c r="M315" i="41"/>
  <c r="M329" i="41"/>
  <c r="M336" i="41"/>
  <c r="M344" i="41"/>
  <c r="M352" i="41"/>
  <c r="M292" i="41"/>
  <c r="M330" i="41"/>
  <c r="M331" i="41"/>
  <c r="M339" i="41"/>
  <c r="M347" i="41"/>
  <c r="M256" i="41"/>
  <c r="M332" i="41"/>
  <c r="M333" i="41"/>
  <c r="M334" i="41"/>
  <c r="M342" i="41"/>
  <c r="M350" i="41"/>
  <c r="M290" i="41"/>
  <c r="M337" i="41"/>
  <c r="M345" i="41"/>
  <c r="M353" i="41"/>
  <c r="M309" i="41"/>
  <c r="M313" i="41"/>
  <c r="M317" i="41"/>
  <c r="M340" i="41"/>
  <c r="M348" i="41"/>
  <c r="M351" i="41"/>
  <c r="M335" i="41"/>
  <c r="M323" i="41"/>
  <c r="M343" i="41"/>
  <c r="M233" i="41"/>
  <c r="M1003" i="40"/>
  <c r="J891" i="40"/>
  <c r="O487" i="40"/>
  <c r="O656" i="40" s="1"/>
  <c r="N835" i="40"/>
  <c r="I889" i="40"/>
  <c r="N481" i="40"/>
  <c r="N650" i="40" s="1"/>
  <c r="M829" i="40"/>
  <c r="M998" i="40" s="1"/>
  <c r="L374" i="40"/>
  <c r="L543" i="40" s="1"/>
  <c r="K722" i="40"/>
  <c r="N492" i="40"/>
  <c r="N661" i="40" s="1"/>
  <c r="M840" i="40"/>
  <c r="N488" i="40"/>
  <c r="N657" i="40" s="1"/>
  <c r="M836" i="40"/>
  <c r="M1005" i="40" s="1"/>
  <c r="L402" i="40"/>
  <c r="L571" i="40" s="1"/>
  <c r="K750" i="40"/>
  <c r="K919" i="40" s="1"/>
  <c r="N477" i="40"/>
  <c r="N646" i="40" s="1"/>
  <c r="M825" i="40"/>
  <c r="M994" i="40" s="1"/>
  <c r="M441" i="40"/>
  <c r="M610" i="40" s="1"/>
  <c r="L789" i="40"/>
  <c r="L998" i="40"/>
  <c r="M429" i="40"/>
  <c r="M598" i="40" s="1"/>
  <c r="L777" i="40"/>
  <c r="M489" i="40"/>
  <c r="M658" i="40" s="1"/>
  <c r="L837" i="40"/>
  <c r="K436" i="40"/>
  <c r="K605" i="40" s="1"/>
  <c r="J784" i="40"/>
  <c r="L504" i="40"/>
  <c r="L673" i="40" s="1"/>
  <c r="K852" i="40"/>
  <c r="K372" i="40"/>
  <c r="K541" i="40" s="1"/>
  <c r="J720" i="40"/>
  <c r="J889" i="40" s="1"/>
  <c r="M397" i="40"/>
  <c r="M566" i="40" s="1"/>
  <c r="L745" i="40"/>
  <c r="M1026" i="40"/>
  <c r="J1020" i="40"/>
  <c r="G152" i="37"/>
  <c r="H193" i="37"/>
  <c r="K970" i="40"/>
  <c r="I119" i="16"/>
  <c r="I168" i="16"/>
  <c r="K1024" i="40"/>
  <c r="N373" i="40"/>
  <c r="N542" i="40" s="1"/>
  <c r="M721" i="40"/>
  <c r="J198" i="41"/>
  <c r="J205" i="41"/>
  <c r="J213" i="41"/>
  <c r="J221" i="41"/>
  <c r="J193" i="41"/>
  <c r="J208" i="41"/>
  <c r="J216" i="41"/>
  <c r="J189" i="41"/>
  <c r="J196" i="41"/>
  <c r="J203" i="41"/>
  <c r="J211" i="41"/>
  <c r="J194" i="41"/>
  <c r="J209" i="41"/>
  <c r="J217" i="41"/>
  <c r="J190" i="41"/>
  <c r="J197" i="41"/>
  <c r="J204" i="41"/>
  <c r="J212" i="41"/>
  <c r="J214" i="41"/>
  <c r="J218" i="41"/>
  <c r="J220" i="41"/>
  <c r="J237" i="41"/>
  <c r="J245" i="41"/>
  <c r="J253" i="41"/>
  <c r="J261" i="41"/>
  <c r="J269" i="41"/>
  <c r="J277" i="41"/>
  <c r="J285" i="41"/>
  <c r="J225" i="41"/>
  <c r="J232" i="41"/>
  <c r="J240" i="41"/>
  <c r="J248" i="41"/>
  <c r="J256" i="41"/>
  <c r="J264" i="41"/>
  <c r="J199" i="41"/>
  <c r="J206" i="41"/>
  <c r="J228" i="41"/>
  <c r="J235" i="41"/>
  <c r="J243" i="41"/>
  <c r="J251" i="41"/>
  <c r="J259" i="41"/>
  <c r="J267" i="41"/>
  <c r="J275" i="41"/>
  <c r="J238" i="41"/>
  <c r="J246" i="41"/>
  <c r="J254" i="41"/>
  <c r="J262" i="41"/>
  <c r="J270" i="41"/>
  <c r="J278" i="41"/>
  <c r="J286" i="41"/>
  <c r="J222" i="41"/>
  <c r="J226" i="41"/>
  <c r="J233" i="41"/>
  <c r="J241" i="41"/>
  <c r="J249" i="41"/>
  <c r="J210" i="41"/>
  <c r="J215" i="41"/>
  <c r="J229" i="41"/>
  <c r="J236" i="41"/>
  <c r="J244" i="41"/>
  <c r="J252" i="41"/>
  <c r="J260" i="41"/>
  <c r="J200" i="41"/>
  <c r="J207" i="41"/>
  <c r="J223" i="41"/>
  <c r="J239" i="41"/>
  <c r="J247" i="41"/>
  <c r="J255" i="41"/>
  <c r="J263" i="41"/>
  <c r="J271" i="41"/>
  <c r="J279" i="41"/>
  <c r="J282" i="41"/>
  <c r="J283" i="41"/>
  <c r="J284" i="41"/>
  <c r="J294" i="41"/>
  <c r="J301" i="41"/>
  <c r="J195" i="41"/>
  <c r="J234" i="41"/>
  <c r="J274" i="41"/>
  <c r="J289" i="41"/>
  <c r="J297" i="41"/>
  <c r="J304" i="41"/>
  <c r="J312" i="41"/>
  <c r="J320" i="41"/>
  <c r="J328" i="41"/>
  <c r="J257" i="41"/>
  <c r="J292" i="41"/>
  <c r="J307" i="41"/>
  <c r="J315" i="41"/>
  <c r="J242" i="41"/>
  <c r="J273" i="41"/>
  <c r="J287" i="41"/>
  <c r="J295" i="41"/>
  <c r="J302" i="41"/>
  <c r="J219" i="41"/>
  <c r="J266" i="41"/>
  <c r="J290" i="41"/>
  <c r="J298" i="41"/>
  <c r="J305" i="41"/>
  <c r="J313" i="41"/>
  <c r="J321" i="41"/>
  <c r="J329" i="41"/>
  <c r="J227" i="41"/>
  <c r="J250" i="41"/>
  <c r="J258" i="41"/>
  <c r="J268" i="41"/>
  <c r="J276" i="41"/>
  <c r="J224" i="41"/>
  <c r="J272" i="41"/>
  <c r="J288" i="41"/>
  <c r="J296" i="41"/>
  <c r="J303" i="41"/>
  <c r="J311" i="41"/>
  <c r="J319" i="41"/>
  <c r="J265" i="41"/>
  <c r="J281" i="41"/>
  <c r="J291" i="41"/>
  <c r="J339" i="41"/>
  <c r="J347" i="41"/>
  <c r="J330" i="41"/>
  <c r="J331" i="41"/>
  <c r="J332" i="41"/>
  <c r="J342" i="41"/>
  <c r="J350" i="41"/>
  <c r="J318" i="41"/>
  <c r="J333" i="41"/>
  <c r="J334" i="41"/>
  <c r="J337" i="41"/>
  <c r="J345" i="41"/>
  <c r="J353" i="41"/>
  <c r="J314" i="41"/>
  <c r="J340" i="41"/>
  <c r="J348" i="41"/>
  <c r="J306" i="41"/>
  <c r="J335" i="41"/>
  <c r="J343" i="41"/>
  <c r="J351" i="41"/>
  <c r="J309" i="41"/>
  <c r="J317" i="41"/>
  <c r="J323" i="41"/>
  <c r="J324" i="41"/>
  <c r="J338" i="41"/>
  <c r="J346" i="41"/>
  <c r="J280" i="41"/>
  <c r="J293" i="41"/>
  <c r="J322" i="41"/>
  <c r="J325" i="41"/>
  <c r="J326" i="41"/>
  <c r="J327" i="41"/>
  <c r="J341" i="41"/>
  <c r="J349" i="41"/>
  <c r="J344" i="41"/>
  <c r="J316" i="41"/>
  <c r="J352" i="41"/>
  <c r="J308" i="41"/>
  <c r="J336" i="41"/>
  <c r="M512" i="40"/>
  <c r="M681" i="40" s="1"/>
  <c r="L860" i="40"/>
  <c r="M910" i="40"/>
  <c r="O157" i="37"/>
  <c r="O117" i="37"/>
  <c r="O39" i="37" s="1"/>
  <c r="M440" i="40"/>
  <c r="M609" i="40" s="1"/>
  <c r="L788" i="40"/>
  <c r="L376" i="40"/>
  <c r="L545" i="40" s="1"/>
  <c r="K724" i="40"/>
  <c r="K561" i="40"/>
  <c r="N431" i="40"/>
  <c r="N600" i="40" s="1"/>
  <c r="M779" i="40"/>
  <c r="K905" i="40"/>
  <c r="K900" i="40"/>
  <c r="O449" i="40"/>
  <c r="O618" i="40" s="1"/>
  <c r="N797" i="40"/>
  <c r="L917" i="40"/>
  <c r="M916" i="40"/>
  <c r="M523" i="40"/>
  <c r="L702" i="40"/>
  <c r="L199" i="37"/>
  <c r="L203" i="37" s="1"/>
  <c r="O412" i="40"/>
  <c r="O581" i="40" s="1"/>
  <c r="N760" i="40"/>
  <c r="M365" i="40"/>
  <c r="M534" i="40" s="1"/>
  <c r="L713" i="40"/>
  <c r="N427" i="40"/>
  <c r="N596" i="40" s="1"/>
  <c r="M775" i="40"/>
  <c r="L414" i="40"/>
  <c r="L583" i="40" s="1"/>
  <c r="K762" i="40"/>
  <c r="K931" i="40" s="1"/>
  <c r="L906" i="40"/>
  <c r="K920" i="40"/>
  <c r="K898" i="40"/>
  <c r="K119" i="16"/>
  <c r="K168" i="16"/>
  <c r="I885" i="40"/>
  <c r="M703" i="40"/>
  <c r="N524" i="40"/>
  <c r="I935" i="40"/>
  <c r="N496" i="40"/>
  <c r="N665" i="40" s="1"/>
  <c r="M844" i="40"/>
  <c r="M1013" i="40" s="1"/>
  <c r="M505" i="40"/>
  <c r="M674" i="40" s="1"/>
  <c r="L853" i="40"/>
  <c r="J915" i="40"/>
  <c r="M1016" i="40"/>
  <c r="N485" i="40"/>
  <c r="N654" i="40" s="1"/>
  <c r="M833" i="40"/>
  <c r="M1002" i="40" s="1"/>
  <c r="M453" i="40"/>
  <c r="M622" i="40" s="1"/>
  <c r="L801" i="40"/>
  <c r="N112" i="16"/>
  <c r="N114" i="16" s="1"/>
  <c r="N115" i="16" s="1"/>
  <c r="N138" i="16"/>
  <c r="H113" i="16"/>
  <c r="H158" i="16"/>
  <c r="L948" i="40"/>
  <c r="M1012" i="40"/>
  <c r="I112" i="16"/>
  <c r="I114" i="16" s="1"/>
  <c r="I115" i="16" s="1"/>
  <c r="I138" i="16"/>
  <c r="J939" i="40"/>
  <c r="L476" i="40"/>
  <c r="L645" i="40" s="1"/>
  <c r="K824" i="40"/>
  <c r="O152" i="37"/>
  <c r="O192" i="37"/>
  <c r="O194" i="37" s="1"/>
  <c r="O202" i="37" s="1"/>
  <c r="M112" i="16"/>
  <c r="M138" i="16"/>
  <c r="M434" i="40"/>
  <c r="M603" i="40" s="1"/>
  <c r="L782" i="40"/>
  <c r="N480" i="40"/>
  <c r="N649" i="40" s="1"/>
  <c r="M828" i="40"/>
  <c r="M997" i="40" s="1"/>
  <c r="L466" i="40"/>
  <c r="L635" i="40" s="1"/>
  <c r="K814" i="40"/>
  <c r="M902" i="40"/>
  <c r="K973" i="40"/>
  <c r="N205" i="37"/>
  <c r="L8" i="22"/>
  <c r="L405" i="40"/>
  <c r="L574" i="40" s="1"/>
  <c r="K753" i="40"/>
  <c r="M972" i="40"/>
  <c r="M375" i="40"/>
  <c r="M544" i="40" s="1"/>
  <c r="L723" i="40"/>
  <c r="L422" i="40"/>
  <c r="L591" i="40" s="1"/>
  <c r="K770" i="40"/>
  <c r="K939" i="40" s="1"/>
  <c r="M936" i="40"/>
  <c r="M394" i="40"/>
  <c r="M563" i="40" s="1"/>
  <c r="L742" i="40"/>
  <c r="L386" i="40"/>
  <c r="L555" i="40" s="1"/>
  <c r="K734" i="40"/>
  <c r="K987" i="40"/>
  <c r="M381" i="40"/>
  <c r="M550" i="40" s="1"/>
  <c r="L729" i="40"/>
  <c r="M391" i="40"/>
  <c r="M560" i="40" s="1"/>
  <c r="L739" i="40"/>
  <c r="M148" i="16"/>
  <c r="M118" i="16"/>
  <c r="M1018" i="40"/>
  <c r="K880" i="40"/>
  <c r="O509" i="40"/>
  <c r="O678" i="40" s="1"/>
  <c r="N857" i="40"/>
  <c r="K567" i="40"/>
  <c r="O930" i="40"/>
  <c r="L112" i="16"/>
  <c r="L114" i="16" s="1"/>
  <c r="L115" i="16" s="1"/>
  <c r="L138" i="16"/>
  <c r="L894" i="40"/>
  <c r="K969" i="40"/>
  <c r="K418" i="40"/>
  <c r="K587" i="40" s="1"/>
  <c r="J766" i="40"/>
  <c r="J935" i="40" s="1"/>
  <c r="I897" i="40"/>
  <c r="O119" i="16"/>
  <c r="O168" i="16"/>
  <c r="K960" i="40"/>
  <c r="O495" i="40"/>
  <c r="O664" i="40" s="1"/>
  <c r="N843" i="40"/>
  <c r="K1017" i="40"/>
  <c r="M482" i="40"/>
  <c r="M651" i="40" s="1"/>
  <c r="L830" i="40"/>
  <c r="L382" i="40"/>
  <c r="L551" i="40" s="1"/>
  <c r="K730" i="40"/>
  <c r="K899" i="40" s="1"/>
  <c r="K118" i="16"/>
  <c r="L890" i="40"/>
  <c r="L956" i="40"/>
  <c r="J986" i="40"/>
  <c r="N437" i="40"/>
  <c r="N606" i="40" s="1"/>
  <c r="M785" i="40"/>
  <c r="L410" i="40"/>
  <c r="L579" i="40" s="1"/>
  <c r="K758" i="40"/>
  <c r="M515" i="40"/>
  <c r="M684" i="40" s="1"/>
  <c r="L863" i="40"/>
  <c r="L1032" i="40" s="1"/>
  <c r="M457" i="40"/>
  <c r="M626" i="40" s="1"/>
  <c r="L805" i="40"/>
  <c r="H130" i="16"/>
  <c r="M451" i="40"/>
  <c r="M620" i="40" s="1"/>
  <c r="L799" i="40"/>
  <c r="L968" i="40" s="1"/>
  <c r="N570" i="40"/>
  <c r="O433" i="40"/>
  <c r="O602" i="40" s="1"/>
  <c r="N781" i="40"/>
  <c r="M478" i="40"/>
  <c r="M647" i="40" s="1"/>
  <c r="L826" i="40"/>
  <c r="L995" i="40" s="1"/>
  <c r="O510" i="40"/>
  <c r="O679" i="40" s="1"/>
  <c r="N858" i="40"/>
  <c r="N494" i="40"/>
  <c r="N663" i="40" s="1"/>
  <c r="M842" i="40"/>
  <c r="M1011" i="40" s="1"/>
  <c r="N430" i="40"/>
  <c r="N599" i="40" s="1"/>
  <c r="M778" i="40"/>
  <c r="M947" i="40" s="1"/>
  <c r="M508" i="40"/>
  <c r="M677" i="40" s="1"/>
  <c r="L856" i="40"/>
  <c r="L1025" i="40" s="1"/>
  <c r="N992" i="40"/>
  <c r="O417" i="40" l="1"/>
  <c r="O586" i="40" s="1"/>
  <c r="N765" i="40"/>
  <c r="N934" i="40" s="1"/>
  <c r="O416" i="40"/>
  <c r="O585" i="40" s="1"/>
  <c r="N764" i="40"/>
  <c r="M120" i="16"/>
  <c r="M121" i="16" s="1"/>
  <c r="M114" i="16"/>
  <c r="M115" i="16" s="1"/>
  <c r="L120" i="16"/>
  <c r="L121" i="16" s="1"/>
  <c r="H94" i="16"/>
  <c r="H169" i="16" s="1"/>
  <c r="H92" i="16"/>
  <c r="H125" i="16" s="1"/>
  <c r="H194" i="37"/>
  <c r="H202" i="37" s="1"/>
  <c r="I89" i="16"/>
  <c r="I153" i="16" s="1"/>
  <c r="K194" i="37"/>
  <c r="K202" i="37" s="1"/>
  <c r="N434" i="40"/>
  <c r="N603" i="40" s="1"/>
  <c r="M782" i="40"/>
  <c r="M951" i="40" s="1"/>
  <c r="P412" i="40"/>
  <c r="F412" i="40" s="1"/>
  <c r="O760" i="40"/>
  <c r="O929" i="40" s="1"/>
  <c r="O431" i="40"/>
  <c r="O600" i="40" s="1"/>
  <c r="N779" i="40"/>
  <c r="O399" i="40"/>
  <c r="O568" i="40" s="1"/>
  <c r="N747" i="40"/>
  <c r="M456" i="40"/>
  <c r="M625" i="40" s="1"/>
  <c r="L804" i="40"/>
  <c r="M382" i="40"/>
  <c r="M551" i="40" s="1"/>
  <c r="L730" i="40"/>
  <c r="L899" i="40" s="1"/>
  <c r="N394" i="40"/>
  <c r="N563" i="40"/>
  <c r="M742" i="40"/>
  <c r="M911" i="40" s="1"/>
  <c r="N375" i="40"/>
  <c r="N544" i="40"/>
  <c r="M723" i="40"/>
  <c r="L372" i="40"/>
  <c r="L541" i="40" s="1"/>
  <c r="K720" i="40"/>
  <c r="O488" i="40"/>
  <c r="O657" i="40" s="1"/>
  <c r="N836" i="40"/>
  <c r="N460" i="40"/>
  <c r="N629" i="40" s="1"/>
  <c r="M808" i="40"/>
  <c r="N425" i="40"/>
  <c r="N594" i="40" s="1"/>
  <c r="M773" i="40"/>
  <c r="P499" i="40"/>
  <c r="F499" i="40" s="1"/>
  <c r="O847" i="40"/>
  <c r="O1016" i="40" s="1"/>
  <c r="O501" i="40"/>
  <c r="O670" i="40" s="1"/>
  <c r="N849" i="40"/>
  <c r="N457" i="40"/>
  <c r="N626" i="40" s="1"/>
  <c r="M805" i="40"/>
  <c r="M974" i="40" s="1"/>
  <c r="O481" i="40"/>
  <c r="O650" i="40" s="1"/>
  <c r="N829" i="40"/>
  <c r="N998" i="40" s="1"/>
  <c r="O502" i="40"/>
  <c r="O671" i="40" s="1"/>
  <c r="N850" i="40"/>
  <c r="N1019" i="40" s="1"/>
  <c r="P404" i="40"/>
  <c r="F404" i="40" s="1"/>
  <c r="O752" i="40"/>
  <c r="N468" i="40"/>
  <c r="N637" i="40" s="1"/>
  <c r="M816" i="40"/>
  <c r="M985" i="40" s="1"/>
  <c r="N515" i="40"/>
  <c r="N684" i="40" s="1"/>
  <c r="M863" i="40"/>
  <c r="M1032" i="40" s="1"/>
  <c r="N482" i="40"/>
  <c r="N651" i="40" s="1"/>
  <c r="M830" i="40"/>
  <c r="M999" i="40" s="1"/>
  <c r="O373" i="40"/>
  <c r="O542" i="40" s="1"/>
  <c r="N721" i="40"/>
  <c r="O477" i="40"/>
  <c r="O646" i="40" s="1"/>
  <c r="N825" i="40"/>
  <c r="N994" i="40" s="1"/>
  <c r="O486" i="40"/>
  <c r="O655" i="40" s="1"/>
  <c r="N834" i="40"/>
  <c r="O407" i="40"/>
  <c r="O576" i="40" s="1"/>
  <c r="N755" i="40"/>
  <c r="N408" i="40"/>
  <c r="N577" i="40" s="1"/>
  <c r="M756" i="40"/>
  <c r="M925" i="40" s="1"/>
  <c r="N483" i="40"/>
  <c r="N652" i="40" s="1"/>
  <c r="M831" i="40"/>
  <c r="M1000" i="40" s="1"/>
  <c r="N470" i="40"/>
  <c r="N639" i="40" s="1"/>
  <c r="M818" i="40"/>
  <c r="M987" i="40" s="1"/>
  <c r="N458" i="40"/>
  <c r="N627" i="40" s="1"/>
  <c r="M806" i="40"/>
  <c r="M975" i="40" s="1"/>
  <c r="P471" i="40"/>
  <c r="F471" i="40" s="1"/>
  <c r="P640" i="40"/>
  <c r="O819" i="40"/>
  <c r="O988" i="40" s="1"/>
  <c r="N381" i="40"/>
  <c r="N550" i="40" s="1"/>
  <c r="M729" i="40"/>
  <c r="M898" i="40" s="1"/>
  <c r="O496" i="40"/>
  <c r="O665" i="40" s="1"/>
  <c r="N844" i="40"/>
  <c r="N1013" i="40" s="1"/>
  <c r="O427" i="40"/>
  <c r="O596" i="40" s="1"/>
  <c r="N775" i="40"/>
  <c r="M376" i="40"/>
  <c r="M545" i="40" s="1"/>
  <c r="L724" i="40"/>
  <c r="L893" i="40" s="1"/>
  <c r="N512" i="40"/>
  <c r="N681" i="40" s="1"/>
  <c r="M860" i="40"/>
  <c r="M1029" i="40" s="1"/>
  <c r="L368" i="40"/>
  <c r="L537" i="40" s="1"/>
  <c r="K716" i="40"/>
  <c r="K885" i="40" s="1"/>
  <c r="O446" i="40"/>
  <c r="O615" i="40" s="1"/>
  <c r="N794" i="40"/>
  <c r="N963" i="40" s="1"/>
  <c r="P509" i="40"/>
  <c r="F509" i="40" s="1"/>
  <c r="O857" i="40"/>
  <c r="O1026" i="40" s="1"/>
  <c r="N438" i="40"/>
  <c r="N607" i="40" s="1"/>
  <c r="M786" i="40"/>
  <c r="M955" i="40" s="1"/>
  <c r="N463" i="40"/>
  <c r="N632" i="40" s="1"/>
  <c r="M811" i="40"/>
  <c r="P475" i="40"/>
  <c r="F475" i="40" s="1"/>
  <c r="O823" i="40"/>
  <c r="N383" i="40"/>
  <c r="N552" i="40" s="1"/>
  <c r="M731" i="40"/>
  <c r="M900" i="40" s="1"/>
  <c r="N444" i="40"/>
  <c r="N613" i="40" s="1"/>
  <c r="M792" i="40"/>
  <c r="N370" i="40"/>
  <c r="N539" i="40" s="1"/>
  <c r="M718" i="40"/>
  <c r="M887" i="40" s="1"/>
  <c r="N403" i="40"/>
  <c r="N572" i="40" s="1"/>
  <c r="M751" i="40"/>
  <c r="M920" i="40" s="1"/>
  <c r="O516" i="40"/>
  <c r="O685" i="40" s="1"/>
  <c r="N864" i="40"/>
  <c r="N432" i="40"/>
  <c r="N601" i="40" s="1"/>
  <c r="M780" i="40"/>
  <c r="M949" i="40" s="1"/>
  <c r="O430" i="40"/>
  <c r="O599" i="40" s="1"/>
  <c r="N778" i="40"/>
  <c r="N947" i="40" s="1"/>
  <c r="O480" i="40"/>
  <c r="O649" i="40" s="1"/>
  <c r="N828" i="40"/>
  <c r="N997" i="40" s="1"/>
  <c r="M371" i="40"/>
  <c r="M540" i="40"/>
  <c r="L719" i="40"/>
  <c r="M364" i="40"/>
  <c r="M533" i="40" s="1"/>
  <c r="L712" i="40"/>
  <c r="L881" i="40" s="1"/>
  <c r="L358" i="40"/>
  <c r="L527" i="40" s="1"/>
  <c r="K706" i="40"/>
  <c r="K875" i="40" s="1"/>
  <c r="K689" i="40"/>
  <c r="L378" i="40"/>
  <c r="L547" i="40" s="1"/>
  <c r="K726" i="40"/>
  <c r="K895" i="40" s="1"/>
  <c r="N423" i="40"/>
  <c r="N592" i="40" s="1"/>
  <c r="M771" i="40"/>
  <c r="N462" i="40"/>
  <c r="N631" i="40" s="1"/>
  <c r="M810" i="40"/>
  <c r="N508" i="40"/>
  <c r="N677" i="40" s="1"/>
  <c r="M856" i="40"/>
  <c r="M1025" i="40" s="1"/>
  <c r="M469" i="40"/>
  <c r="M638" i="40" s="1"/>
  <c r="L817" i="40"/>
  <c r="L986" i="40" s="1"/>
  <c r="O511" i="40"/>
  <c r="O680" i="40"/>
  <c r="N859" i="40"/>
  <c r="N1028" i="40" s="1"/>
  <c r="O494" i="40"/>
  <c r="O663" i="40" s="1"/>
  <c r="N842" i="40"/>
  <c r="N1011" i="40" s="1"/>
  <c r="N478" i="40"/>
  <c r="N647" i="40" s="1"/>
  <c r="M826" i="40"/>
  <c r="P495" i="40"/>
  <c r="F495" i="40" s="1"/>
  <c r="O843" i="40"/>
  <c r="M476" i="40"/>
  <c r="M645" i="40" s="1"/>
  <c r="L824" i="40"/>
  <c r="L993" i="40" s="1"/>
  <c r="N365" i="40"/>
  <c r="N534" i="40" s="1"/>
  <c r="M713" i="40"/>
  <c r="M882" i="40" s="1"/>
  <c r="N397" i="40"/>
  <c r="N566" i="40" s="1"/>
  <c r="M745" i="40"/>
  <c r="L418" i="40"/>
  <c r="L587" i="40" s="1"/>
  <c r="K766" i="40"/>
  <c r="K935" i="40" s="1"/>
  <c r="M386" i="40"/>
  <c r="M555" i="40" s="1"/>
  <c r="L734" i="40"/>
  <c r="L903" i="40" s="1"/>
  <c r="P359" i="40"/>
  <c r="F359" i="40" s="1"/>
  <c r="O707" i="40"/>
  <c r="O876" i="40" s="1"/>
  <c r="O517" i="40"/>
  <c r="O686" i="40" s="1"/>
  <c r="N865" i="40"/>
  <c r="N452" i="40"/>
  <c r="N621" i="40" s="1"/>
  <c r="M800" i="40"/>
  <c r="M969" i="40" s="1"/>
  <c r="N400" i="40"/>
  <c r="N569" i="40" s="1"/>
  <c r="M748" i="40"/>
  <c r="M917" i="40" s="1"/>
  <c r="P409" i="40"/>
  <c r="F409" i="40" s="1"/>
  <c r="O757" i="40"/>
  <c r="O926" i="40" s="1"/>
  <c r="N445" i="40"/>
  <c r="N614" i="40" s="1"/>
  <c r="M793" i="40"/>
  <c r="N379" i="40"/>
  <c r="N548" i="40" s="1"/>
  <c r="M727" i="40"/>
  <c r="M896" i="40" s="1"/>
  <c r="N448" i="40"/>
  <c r="N617" i="40" s="1"/>
  <c r="M796" i="40"/>
  <c r="M965" i="40" s="1"/>
  <c r="O472" i="40"/>
  <c r="O641" i="40" s="1"/>
  <c r="N820" i="40"/>
  <c r="O424" i="40"/>
  <c r="O593" i="40" s="1"/>
  <c r="N772" i="40"/>
  <c r="N941" i="40" s="1"/>
  <c r="P433" i="40"/>
  <c r="F433" i="40" s="1"/>
  <c r="O781" i="40"/>
  <c r="O950" i="40" s="1"/>
  <c r="M853" i="40"/>
  <c r="M1022" i="40" s="1"/>
  <c r="N505" i="40"/>
  <c r="N674" i="40" s="1"/>
  <c r="O401" i="40"/>
  <c r="O570" i="40" s="1"/>
  <c r="N749" i="40"/>
  <c r="L398" i="40"/>
  <c r="L567" i="40" s="1"/>
  <c r="K746" i="40"/>
  <c r="M414" i="40"/>
  <c r="M583" i="40" s="1"/>
  <c r="L762" i="40"/>
  <c r="K986" i="40"/>
  <c r="M892" i="40"/>
  <c r="L892" i="40"/>
  <c r="M466" i="40"/>
  <c r="M635" i="40" s="1"/>
  <c r="L814" i="40"/>
  <c r="N948" i="40"/>
  <c r="L1029" i="40"/>
  <c r="I88" i="16"/>
  <c r="I93" i="16"/>
  <c r="I163" i="16" s="1"/>
  <c r="H114" i="16"/>
  <c r="H115" i="16" s="1"/>
  <c r="M205" i="37"/>
  <c r="K8" i="22"/>
  <c r="J901" i="40"/>
  <c r="K114" i="16"/>
  <c r="K115" i="16" s="1"/>
  <c r="O377" i="40"/>
  <c r="O546" i="40" s="1"/>
  <c r="N725" i="40"/>
  <c r="N894" i="40" s="1"/>
  <c r="M360" i="40"/>
  <c r="M529" i="40" s="1"/>
  <c r="L708" i="40"/>
  <c r="L877" i="40" s="1"/>
  <c r="N447" i="40"/>
  <c r="N616" i="40" s="1"/>
  <c r="M795" i="40"/>
  <c r="O393" i="40"/>
  <c r="O562" i="40" s="1"/>
  <c r="N741" i="40"/>
  <c r="N910" i="40" s="1"/>
  <c r="P461" i="40"/>
  <c r="F461" i="40" s="1"/>
  <c r="O809" i="40"/>
  <c r="O978" i="40" s="1"/>
  <c r="N363" i="40"/>
  <c r="N532" i="40" s="1"/>
  <c r="M711" i="40"/>
  <c r="N453" i="40"/>
  <c r="N622" i="40" s="1"/>
  <c r="M801" i="40"/>
  <c r="M970" i="40" s="1"/>
  <c r="L1006" i="40"/>
  <c r="M422" i="40"/>
  <c r="M591" i="40" s="1"/>
  <c r="L770" i="40"/>
  <c r="L939" i="40" s="1"/>
  <c r="M872" i="40"/>
  <c r="N1027" i="40"/>
  <c r="N1012" i="40"/>
  <c r="L970" i="40"/>
  <c r="K984" i="40"/>
  <c r="M669" i="40"/>
  <c r="I120" i="16"/>
  <c r="I121" i="16" s="1"/>
  <c r="I94" i="37"/>
  <c r="I164" i="37" s="1"/>
  <c r="I103" i="37"/>
  <c r="I173" i="37" s="1"/>
  <c r="I111" i="37"/>
  <c r="I181" i="37" s="1"/>
  <c r="I91" i="37"/>
  <c r="I161" i="37" s="1"/>
  <c r="I99" i="37"/>
  <c r="I169" i="37" s="1"/>
  <c r="I116" i="37"/>
  <c r="I151" i="37" s="1"/>
  <c r="I88" i="37"/>
  <c r="I158" i="37" s="1"/>
  <c r="I92" i="37"/>
  <c r="I162" i="37" s="1"/>
  <c r="I96" i="37"/>
  <c r="I166" i="37" s="1"/>
  <c r="I100" i="37"/>
  <c r="I170" i="37" s="1"/>
  <c r="I105" i="37"/>
  <c r="I175" i="37" s="1"/>
  <c r="I109" i="37"/>
  <c r="I179" i="37" s="1"/>
  <c r="I113" i="37"/>
  <c r="I183" i="37" s="1"/>
  <c r="I89" i="37"/>
  <c r="I159" i="37" s="1"/>
  <c r="I97" i="37"/>
  <c r="I167" i="37" s="1"/>
  <c r="I106" i="37"/>
  <c r="I176" i="37" s="1"/>
  <c r="I114" i="37"/>
  <c r="I184" i="37" s="1"/>
  <c r="I93" i="37"/>
  <c r="I163" i="37" s="1"/>
  <c r="I102" i="37"/>
  <c r="I172" i="37" s="1"/>
  <c r="I110" i="37"/>
  <c r="I180" i="37" s="1"/>
  <c r="I90" i="37"/>
  <c r="I160" i="37" s="1"/>
  <c r="I104" i="37"/>
  <c r="I174" i="37" s="1"/>
  <c r="I115" i="37"/>
  <c r="I185" i="37" s="1"/>
  <c r="I112" i="37"/>
  <c r="I182" i="37" s="1"/>
  <c r="I98" i="37"/>
  <c r="I168" i="37" s="1"/>
  <c r="I95" i="37"/>
  <c r="I165" i="37" s="1"/>
  <c r="I108" i="37"/>
  <c r="I178" i="37" s="1"/>
  <c r="I87" i="37"/>
  <c r="I107" i="37"/>
  <c r="I177" i="37" s="1"/>
  <c r="N966" i="40"/>
  <c r="L362" i="40"/>
  <c r="L531" i="40" s="1"/>
  <c r="K710" i="40"/>
  <c r="K879" i="40" s="1"/>
  <c r="N1026" i="40"/>
  <c r="J943" i="40"/>
  <c r="H86" i="16"/>
  <c r="L991" i="40"/>
  <c r="N1004" i="40"/>
  <c r="N390" i="40"/>
  <c r="N559" i="40" s="1"/>
  <c r="M738" i="40"/>
  <c r="M907" i="40" s="1"/>
  <c r="N443" i="40"/>
  <c r="N612" i="40" s="1"/>
  <c r="M791" i="40"/>
  <c r="M960" i="40" s="1"/>
  <c r="K903" i="40"/>
  <c r="M702" i="40"/>
  <c r="N523" i="40"/>
  <c r="M374" i="40"/>
  <c r="M543" i="40" s="1"/>
  <c r="L722" i="40"/>
  <c r="O450" i="40"/>
  <c r="O619" i="40" s="1"/>
  <c r="N798" i="40"/>
  <c r="M411" i="40"/>
  <c r="M580" i="40" s="1"/>
  <c r="L759" i="40"/>
  <c r="L928" i="40" s="1"/>
  <c r="N391" i="40"/>
  <c r="N560" i="40" s="1"/>
  <c r="M739" i="40"/>
  <c r="M908" i="40" s="1"/>
  <c r="K993" i="40"/>
  <c r="N944" i="40"/>
  <c r="N440" i="40"/>
  <c r="N609" i="40" s="1"/>
  <c r="M788" i="40"/>
  <c r="M504" i="40"/>
  <c r="M673" i="40" s="1"/>
  <c r="L852" i="40"/>
  <c r="N489" i="40"/>
  <c r="N658" i="40" s="1"/>
  <c r="M837" i="40"/>
  <c r="M1006" i="40" s="1"/>
  <c r="P518" i="40"/>
  <c r="F518" i="40" s="1"/>
  <c r="O866" i="40"/>
  <c r="O1035" i="40" s="1"/>
  <c r="L952" i="40"/>
  <c r="O419" i="40"/>
  <c r="O588" i="40" s="1"/>
  <c r="N767" i="40"/>
  <c r="N936" i="40" s="1"/>
  <c r="I82" i="37"/>
  <c r="M967" i="40"/>
  <c r="M971" i="40"/>
  <c r="O415" i="40"/>
  <c r="O584" i="40" s="1"/>
  <c r="N763" i="40"/>
  <c r="N932" i="40" s="1"/>
  <c r="N590" i="40"/>
  <c r="N421" i="40"/>
  <c r="M769" i="40"/>
  <c r="M938" i="40" s="1"/>
  <c r="N490" i="40"/>
  <c r="N659" i="40" s="1"/>
  <c r="M838" i="40"/>
  <c r="M1007" i="40" s="1"/>
  <c r="K891" i="40"/>
  <c r="N497" i="40"/>
  <c r="N666" i="40" s="1"/>
  <c r="M845" i="40"/>
  <c r="N420" i="40"/>
  <c r="N589" i="40" s="1"/>
  <c r="M768" i="40"/>
  <c r="P513" i="40"/>
  <c r="F513" i="40" s="1"/>
  <c r="O861" i="40"/>
  <c r="N387" i="40"/>
  <c r="N556" i="40" s="1"/>
  <c r="M735" i="40"/>
  <c r="M904" i="40" s="1"/>
  <c r="O439" i="40"/>
  <c r="O608" i="40" s="1"/>
  <c r="N787" i="40"/>
  <c r="N956" i="40" s="1"/>
  <c r="N484" i="40"/>
  <c r="N653" i="40" s="1"/>
  <c r="M832" i="40"/>
  <c r="M962" i="40"/>
  <c r="N507" i="40"/>
  <c r="N676" i="40" s="1"/>
  <c r="M855" i="40"/>
  <c r="M1024" i="40" s="1"/>
  <c r="L973" i="40"/>
  <c r="N1033" i="40"/>
  <c r="P491" i="40"/>
  <c r="F491" i="40" s="1"/>
  <c r="O839" i="40"/>
  <c r="O1008" i="40" s="1"/>
  <c r="N361" i="40"/>
  <c r="N530" i="40" s="1"/>
  <c r="M709" i="40"/>
  <c r="M878" i="40" s="1"/>
  <c r="K1021" i="40"/>
  <c r="P487" i="40"/>
  <c r="F487" i="40" s="1"/>
  <c r="O835" i="40"/>
  <c r="N474" i="40"/>
  <c r="N643" i="40" s="1"/>
  <c r="M822" i="40"/>
  <c r="N950" i="40"/>
  <c r="L974" i="40"/>
  <c r="O524" i="40"/>
  <c r="N703" i="40"/>
  <c r="N872" i="40" s="1"/>
  <c r="L392" i="40"/>
  <c r="L561" i="40" s="1"/>
  <c r="K740" i="40"/>
  <c r="L1022" i="40"/>
  <c r="L958" i="40"/>
  <c r="M977" i="40"/>
  <c r="K888" i="40"/>
  <c r="O120" i="16"/>
  <c r="O121" i="16" s="1"/>
  <c r="M948" i="40"/>
  <c r="L1001" i="40"/>
  <c r="J875" i="40"/>
  <c r="K197" i="37"/>
  <c r="K198" i="37"/>
  <c r="L192" i="37"/>
  <c r="L194" i="37" s="1"/>
  <c r="L202" i="37" s="1"/>
  <c r="L204" i="37" s="1"/>
  <c r="H198" i="37"/>
  <c r="H197" i="37"/>
  <c r="N916" i="40"/>
  <c r="P582" i="40"/>
  <c r="N1018" i="40"/>
  <c r="N451" i="40"/>
  <c r="N620" i="40" s="1"/>
  <c r="M799" i="40"/>
  <c r="L384" i="40"/>
  <c r="L553" i="40" s="1"/>
  <c r="K732" i="40"/>
  <c r="K901" i="40" s="1"/>
  <c r="L1007" i="40"/>
  <c r="N538" i="40"/>
  <c r="N369" i="40"/>
  <c r="M717" i="40"/>
  <c r="O506" i="40"/>
  <c r="O675" i="40" s="1"/>
  <c r="N854" i="40"/>
  <c r="N1023" i="40" s="1"/>
  <c r="M410" i="40"/>
  <c r="M579" i="40" s="1"/>
  <c r="L758" i="40"/>
  <c r="L927" i="40" s="1"/>
  <c r="K922" i="40"/>
  <c r="N441" i="40"/>
  <c r="N610" i="40" s="1"/>
  <c r="M789" i="40"/>
  <c r="M402" i="40"/>
  <c r="M571" i="40" s="1"/>
  <c r="L750" i="40"/>
  <c r="L919" i="40" s="1"/>
  <c r="O492" i="40"/>
  <c r="O661" i="40" s="1"/>
  <c r="N840" i="40"/>
  <c r="N1009" i="40" s="1"/>
  <c r="K983" i="40"/>
  <c r="N194" i="41"/>
  <c r="N209" i="41"/>
  <c r="N217" i="41"/>
  <c r="N190" i="41"/>
  <c r="N197" i="41"/>
  <c r="N204" i="41"/>
  <c r="N212" i="41"/>
  <c r="N200" i="41"/>
  <c r="N207" i="41"/>
  <c r="N198" i="41"/>
  <c r="N205" i="41"/>
  <c r="N213" i="41"/>
  <c r="N193" i="41"/>
  <c r="N208" i="41"/>
  <c r="N216" i="41"/>
  <c r="N189" i="41"/>
  <c r="N195" i="41"/>
  <c r="N222" i="41"/>
  <c r="N226" i="41"/>
  <c r="N233" i="41"/>
  <c r="N241" i="41"/>
  <c r="N249" i="41"/>
  <c r="N257" i="41"/>
  <c r="N265" i="41"/>
  <c r="N273" i="41"/>
  <c r="N281" i="41"/>
  <c r="N223" i="41"/>
  <c r="N229" i="41"/>
  <c r="N236" i="41"/>
  <c r="N244" i="41"/>
  <c r="N252" i="41"/>
  <c r="N260" i="41"/>
  <c r="N211" i="41"/>
  <c r="N214" i="41"/>
  <c r="N218" i="41"/>
  <c r="N219" i="41"/>
  <c r="N239" i="41"/>
  <c r="N247" i="41"/>
  <c r="N255" i="41"/>
  <c r="N263" i="41"/>
  <c r="N271" i="41"/>
  <c r="N220" i="41"/>
  <c r="N224" i="41"/>
  <c r="N227" i="41"/>
  <c r="N234" i="41"/>
  <c r="N242" i="41"/>
  <c r="N250" i="41"/>
  <c r="N258" i="41"/>
  <c r="N266" i="41"/>
  <c r="N274" i="41"/>
  <c r="N282" i="41"/>
  <c r="N196" i="41"/>
  <c r="N199" i="41"/>
  <c r="N203" i="41"/>
  <c r="N206" i="41"/>
  <c r="N237" i="41"/>
  <c r="N245" i="41"/>
  <c r="N221" i="41"/>
  <c r="N225" i="41"/>
  <c r="N232" i="41"/>
  <c r="N240" i="41"/>
  <c r="N248" i="41"/>
  <c r="N256" i="41"/>
  <c r="N210" i="41"/>
  <c r="N228" i="41"/>
  <c r="N235" i="41"/>
  <c r="N243" i="41"/>
  <c r="N251" i="41"/>
  <c r="N259" i="41"/>
  <c r="N267" i="41"/>
  <c r="N275" i="41"/>
  <c r="N254" i="41"/>
  <c r="N261" i="41"/>
  <c r="N272" i="41"/>
  <c r="N290" i="41"/>
  <c r="N298" i="41"/>
  <c r="N293" i="41"/>
  <c r="N308" i="41"/>
  <c r="N316" i="41"/>
  <c r="N324" i="41"/>
  <c r="N332" i="41"/>
  <c r="N238" i="41"/>
  <c r="N279" i="41"/>
  <c r="N280" i="41"/>
  <c r="N288" i="41"/>
  <c r="N296" i="41"/>
  <c r="N303" i="41"/>
  <c r="N311" i="41"/>
  <c r="N319" i="41"/>
  <c r="N270" i="41"/>
  <c r="N278" i="41"/>
  <c r="N283" i="41"/>
  <c r="N284" i="41"/>
  <c r="N285" i="41"/>
  <c r="N291" i="41"/>
  <c r="N306" i="41"/>
  <c r="N246" i="41"/>
  <c r="N253" i="41"/>
  <c r="N262" i="41"/>
  <c r="N264" i="41"/>
  <c r="N269" i="41"/>
  <c r="N277" i="41"/>
  <c r="N294" i="41"/>
  <c r="N301" i="41"/>
  <c r="N309" i="41"/>
  <c r="N317" i="41"/>
  <c r="N325" i="41"/>
  <c r="N333" i="41"/>
  <c r="N286" i="41"/>
  <c r="N215" i="41"/>
  <c r="N292" i="41"/>
  <c r="N307" i="41"/>
  <c r="N315" i="41"/>
  <c r="N276" i="41"/>
  <c r="N312" i="41"/>
  <c r="N320" i="41"/>
  <c r="N322" i="41"/>
  <c r="N323" i="41"/>
  <c r="N335" i="41"/>
  <c r="N343" i="41"/>
  <c r="N351" i="41"/>
  <c r="N289" i="41"/>
  <c r="N302" i="41"/>
  <c r="N305" i="41"/>
  <c r="N321" i="41"/>
  <c r="N326" i="41"/>
  <c r="N327" i="41"/>
  <c r="N328" i="41"/>
  <c r="N338" i="41"/>
  <c r="N346" i="41"/>
  <c r="N341" i="41"/>
  <c r="N349" i="41"/>
  <c r="N304" i="41"/>
  <c r="N329" i="41"/>
  <c r="N336" i="41"/>
  <c r="N344" i="41"/>
  <c r="N352" i="41"/>
  <c r="N268" i="41"/>
  <c r="N287" i="41"/>
  <c r="N310" i="41"/>
  <c r="N318" i="41"/>
  <c r="N330" i="41"/>
  <c r="N331" i="41"/>
  <c r="N339" i="41"/>
  <c r="N347" i="41"/>
  <c r="N297" i="41"/>
  <c r="N314" i="41"/>
  <c r="N334" i="41"/>
  <c r="N342" i="41"/>
  <c r="N350" i="41"/>
  <c r="N295" i="41"/>
  <c r="N337" i="41"/>
  <c r="N345" i="41"/>
  <c r="N353" i="41"/>
  <c r="N348" i="41"/>
  <c r="N340" i="41"/>
  <c r="N313" i="41"/>
  <c r="L959" i="40"/>
  <c r="M944" i="40"/>
  <c r="N435" i="40"/>
  <c r="N604" i="40" s="1"/>
  <c r="M783" i="40"/>
  <c r="O454" i="40"/>
  <c r="O623" i="40" s="1"/>
  <c r="N802" i="40"/>
  <c r="N971" i="40" s="1"/>
  <c r="M980" i="40"/>
  <c r="L380" i="40"/>
  <c r="L549" i="40" s="1"/>
  <c r="K728" i="40"/>
  <c r="L955" i="40"/>
  <c r="M503" i="40"/>
  <c r="M672" i="40" s="1"/>
  <c r="L851" i="40"/>
  <c r="L1020" i="40" s="1"/>
  <c r="O455" i="40"/>
  <c r="O624" i="40" s="1"/>
  <c r="N803" i="40"/>
  <c r="N972" i="40" s="1"/>
  <c r="H95" i="16"/>
  <c r="H173" i="16" s="1"/>
  <c r="O389" i="40"/>
  <c r="O558" i="40" s="1"/>
  <c r="N737" i="40"/>
  <c r="N906" i="40" s="1"/>
  <c r="O385" i="40"/>
  <c r="O554" i="40" s="1"/>
  <c r="N733" i="40"/>
  <c r="N902" i="40" s="1"/>
  <c r="P449" i="40"/>
  <c r="F449" i="40" s="1"/>
  <c r="O797" i="40"/>
  <c r="L426" i="40"/>
  <c r="L595" i="40" s="1"/>
  <c r="K774" i="40"/>
  <c r="K943" i="40" s="1"/>
  <c r="O485" i="40"/>
  <c r="O654" i="40" s="1"/>
  <c r="N833" i="40"/>
  <c r="N1002" i="40" s="1"/>
  <c r="L957" i="40"/>
  <c r="L951" i="40"/>
  <c r="O197" i="37"/>
  <c r="O198" i="37"/>
  <c r="K889" i="40"/>
  <c r="J953" i="40"/>
  <c r="L946" i="40"/>
  <c r="J197" i="37"/>
  <c r="J198" i="37"/>
  <c r="N442" i="40"/>
  <c r="N611" i="40" s="1"/>
  <c r="M790" i="40"/>
  <c r="N1003" i="40"/>
  <c r="L898" i="40"/>
  <c r="L871" i="40"/>
  <c r="K881" i="40"/>
  <c r="O493" i="40"/>
  <c r="O662" i="40" s="1"/>
  <c r="N841" i="40"/>
  <c r="M406" i="40"/>
  <c r="M575" i="40" s="1"/>
  <c r="L754" i="40"/>
  <c r="N428" i="40"/>
  <c r="N597" i="40" s="1"/>
  <c r="M776" i="40"/>
  <c r="L911" i="40"/>
  <c r="N924" i="40"/>
  <c r="J895" i="40"/>
  <c r="L925" i="40"/>
  <c r="N1034" i="40"/>
  <c r="M1034" i="40"/>
  <c r="L1000" i="40"/>
  <c r="M961" i="40"/>
  <c r="O473" i="40"/>
  <c r="O642" i="40" s="1"/>
  <c r="N821" i="40"/>
  <c r="N990" i="40" s="1"/>
  <c r="N459" i="40"/>
  <c r="N628" i="40" s="1"/>
  <c r="M807" i="40"/>
  <c r="M976" i="40" s="1"/>
  <c r="M880" i="40"/>
  <c r="I87" i="16"/>
  <c r="I143" i="16" s="1"/>
  <c r="N498" i="40"/>
  <c r="N667" i="40" s="1"/>
  <c r="M846" i="40"/>
  <c r="P479" i="40"/>
  <c r="F479" i="40" s="1"/>
  <c r="O827" i="40"/>
  <c r="L908" i="40"/>
  <c r="N890" i="40"/>
  <c r="M467" i="40"/>
  <c r="M636" i="40" s="1"/>
  <c r="L815" i="40"/>
  <c r="L984" i="40" s="1"/>
  <c r="L938" i="40"/>
  <c r="N929" i="40"/>
  <c r="P514" i="40"/>
  <c r="F514" i="40" s="1"/>
  <c r="O862" i="40"/>
  <c r="O1031" i="40" s="1"/>
  <c r="L937" i="40"/>
  <c r="L931" i="40"/>
  <c r="P510" i="40"/>
  <c r="F510" i="40" s="1"/>
  <c r="O858" i="40"/>
  <c r="O437" i="40"/>
  <c r="O606" i="40" s="1"/>
  <c r="N785" i="40"/>
  <c r="N954" i="40" s="1"/>
  <c r="M405" i="40"/>
  <c r="M574" i="40" s="1"/>
  <c r="L753" i="40"/>
  <c r="L922" i="40" s="1"/>
  <c r="K927" i="40"/>
  <c r="M890" i="40"/>
  <c r="K120" i="16"/>
  <c r="K121" i="16" s="1"/>
  <c r="M954" i="40"/>
  <c r="L999" i="40"/>
  <c r="L882" i="40"/>
  <c r="M914" i="40"/>
  <c r="L436" i="40"/>
  <c r="L605" i="40" s="1"/>
  <c r="K784" i="40"/>
  <c r="K953" i="40" s="1"/>
  <c r="N429" i="40"/>
  <c r="N598" i="40" s="1"/>
  <c r="M777" i="40"/>
  <c r="N1005" i="40"/>
  <c r="K893" i="40"/>
  <c r="M1009" i="40"/>
  <c r="N27" i="10"/>
  <c r="M28" i="10"/>
  <c r="M32" i="10" s="1"/>
  <c r="M37" i="10" s="1"/>
  <c r="O7" i="41" s="1"/>
  <c r="L914" i="40"/>
  <c r="O992" i="40"/>
  <c r="M894" i="40"/>
  <c r="M942" i="40"/>
  <c r="M940" i="40"/>
  <c r="L557" i="40"/>
  <c r="M979" i="40"/>
  <c r="N989" i="40"/>
  <c r="P528" i="40" l="1"/>
  <c r="P660" i="40"/>
  <c r="P602" i="40"/>
  <c r="P578" i="40"/>
  <c r="P581" i="40"/>
  <c r="P679" i="40"/>
  <c r="P644" i="40"/>
  <c r="P823" i="40" s="1"/>
  <c r="P416" i="40"/>
  <c r="F416" i="40" s="1"/>
  <c r="O764" i="40"/>
  <c r="P417" i="40"/>
  <c r="F417" i="40" s="1"/>
  <c r="O765" i="40"/>
  <c r="P668" i="40"/>
  <c r="N933" i="40"/>
  <c r="O933" i="40"/>
  <c r="P687" i="40"/>
  <c r="J199" i="37"/>
  <c r="J203" i="37" s="1"/>
  <c r="H159" i="16"/>
  <c r="H178" i="16" s="1"/>
  <c r="H131" i="16"/>
  <c r="H132" i="16" s="1"/>
  <c r="H133" i="16" s="1"/>
  <c r="K199" i="37"/>
  <c r="K203" i="37" s="1"/>
  <c r="K204" i="37" s="1"/>
  <c r="K205" i="37" s="1"/>
  <c r="N406" i="40"/>
  <c r="N575" i="40" s="1"/>
  <c r="M754" i="40"/>
  <c r="N467" i="40"/>
  <c r="N636" i="40" s="1"/>
  <c r="M815" i="40"/>
  <c r="M984" i="40" s="1"/>
  <c r="O484" i="40"/>
  <c r="O653" i="40" s="1"/>
  <c r="N832" i="40"/>
  <c r="O490" i="40"/>
  <c r="O659" i="40" s="1"/>
  <c r="N838" i="40"/>
  <c r="P446" i="40"/>
  <c r="F446" i="40" s="1"/>
  <c r="O794" i="40"/>
  <c r="O963" i="40" s="1"/>
  <c r="M372" i="40"/>
  <c r="M541" i="40" s="1"/>
  <c r="L720" i="40"/>
  <c r="O505" i="40"/>
  <c r="O674" i="40" s="1"/>
  <c r="N853" i="40"/>
  <c r="N1022" i="40" s="1"/>
  <c r="O459" i="40"/>
  <c r="O628" i="40" s="1"/>
  <c r="N807" i="40"/>
  <c r="N411" i="40"/>
  <c r="N580" i="40" s="1"/>
  <c r="M759" i="40"/>
  <c r="M928" i="40" s="1"/>
  <c r="O448" i="40"/>
  <c r="O617" i="40" s="1"/>
  <c r="N796" i="40"/>
  <c r="P427" i="40"/>
  <c r="F427" i="40" s="1"/>
  <c r="O775" i="40"/>
  <c r="P407" i="40"/>
  <c r="F407" i="40" s="1"/>
  <c r="O755" i="40"/>
  <c r="O924" i="40" s="1"/>
  <c r="O457" i="40"/>
  <c r="O626" i="40" s="1"/>
  <c r="N805" i="40"/>
  <c r="N974" i="40" s="1"/>
  <c r="O474" i="40"/>
  <c r="O643" i="40" s="1"/>
  <c r="N822" i="40"/>
  <c r="I8" i="22"/>
  <c r="O489" i="40"/>
  <c r="O658" i="40" s="1"/>
  <c r="N837" i="40"/>
  <c r="M362" i="40"/>
  <c r="M531" i="40" s="1"/>
  <c r="L710" i="40"/>
  <c r="O379" i="40"/>
  <c r="O548" i="40" s="1"/>
  <c r="N727" i="40"/>
  <c r="O400" i="40"/>
  <c r="O569" i="40" s="1"/>
  <c r="N748" i="40"/>
  <c r="N469" i="40"/>
  <c r="N638" i="40" s="1"/>
  <c r="M817" i="40"/>
  <c r="P501" i="40"/>
  <c r="F501" i="40" s="1"/>
  <c r="O849" i="40"/>
  <c r="O1018" i="40" s="1"/>
  <c r="O460" i="40"/>
  <c r="O629" i="40" s="1"/>
  <c r="N808" i="40"/>
  <c r="M368" i="40"/>
  <c r="M537" i="40" s="1"/>
  <c r="L716" i="40"/>
  <c r="O199" i="41"/>
  <c r="O206" i="41"/>
  <c r="O214" i="41"/>
  <c r="O222" i="41"/>
  <c r="O194" i="41"/>
  <c r="O209" i="41"/>
  <c r="O217" i="41"/>
  <c r="O190" i="41"/>
  <c r="O197" i="41"/>
  <c r="O204" i="41"/>
  <c r="O212" i="41"/>
  <c r="O195" i="41"/>
  <c r="O210" i="41"/>
  <c r="O218" i="41"/>
  <c r="O198" i="41"/>
  <c r="O205" i="41"/>
  <c r="O213" i="41"/>
  <c r="O193" i="41"/>
  <c r="O200" i="41"/>
  <c r="O207" i="41"/>
  <c r="O215" i="41"/>
  <c r="O238" i="41"/>
  <c r="O246" i="41"/>
  <c r="O254" i="41"/>
  <c r="O262" i="41"/>
  <c r="O270" i="41"/>
  <c r="O278" i="41"/>
  <c r="O286" i="41"/>
  <c r="O189" i="41"/>
  <c r="O226" i="41"/>
  <c r="O233" i="41"/>
  <c r="O241" i="41"/>
  <c r="O249" i="41"/>
  <c r="O257" i="41"/>
  <c r="O265" i="41"/>
  <c r="O223" i="41"/>
  <c r="O229" i="41"/>
  <c r="O236" i="41"/>
  <c r="O244" i="41"/>
  <c r="O252" i="41"/>
  <c r="O260" i="41"/>
  <c r="O268" i="41"/>
  <c r="O276" i="41"/>
  <c r="O211" i="41"/>
  <c r="O219" i="41"/>
  <c r="O239" i="41"/>
  <c r="O247" i="41"/>
  <c r="O255" i="41"/>
  <c r="O263" i="41"/>
  <c r="O271" i="41"/>
  <c r="O279" i="41"/>
  <c r="O208" i="41"/>
  <c r="O220" i="41"/>
  <c r="O224" i="41"/>
  <c r="O227" i="41"/>
  <c r="O234" i="41"/>
  <c r="O242" i="41"/>
  <c r="O250" i="41"/>
  <c r="O196" i="41"/>
  <c r="O203" i="41"/>
  <c r="O216" i="41"/>
  <c r="O237" i="41"/>
  <c r="O245" i="41"/>
  <c r="O253" i="41"/>
  <c r="O261" i="41"/>
  <c r="O221" i="41"/>
  <c r="O225" i="41"/>
  <c r="O232" i="41"/>
  <c r="O240" i="41"/>
  <c r="O248" i="41"/>
  <c r="O256" i="41"/>
  <c r="O264" i="41"/>
  <c r="O272" i="41"/>
  <c r="O287" i="41"/>
  <c r="O295" i="41"/>
  <c r="O259" i="41"/>
  <c r="O275" i="41"/>
  <c r="O290" i="41"/>
  <c r="O298" i="41"/>
  <c r="O305" i="41"/>
  <c r="O313" i="41"/>
  <c r="O321" i="41"/>
  <c r="O329" i="41"/>
  <c r="O267" i="41"/>
  <c r="O293" i="41"/>
  <c r="O308" i="41"/>
  <c r="O316" i="41"/>
  <c r="O235" i="41"/>
  <c r="O274" i="41"/>
  <c r="O280" i="41"/>
  <c r="O281" i="41"/>
  <c r="O282" i="41"/>
  <c r="O288" i="41"/>
  <c r="O296" i="41"/>
  <c r="O303" i="41"/>
  <c r="O283" i="41"/>
  <c r="O284" i="41"/>
  <c r="O285" i="41"/>
  <c r="O291" i="41"/>
  <c r="O306" i="41"/>
  <c r="O314" i="41"/>
  <c r="O322" i="41"/>
  <c r="O330" i="41"/>
  <c r="O243" i="41"/>
  <c r="O266" i="41"/>
  <c r="O269" i="41"/>
  <c r="O277" i="41"/>
  <c r="O258" i="41"/>
  <c r="O273" i="41"/>
  <c r="O289" i="41"/>
  <c r="O297" i="41"/>
  <c r="O304" i="41"/>
  <c r="O312" i="41"/>
  <c r="O340" i="41"/>
  <c r="O348" i="41"/>
  <c r="O320" i="41"/>
  <c r="O323" i="41"/>
  <c r="O324" i="41"/>
  <c r="O325" i="41"/>
  <c r="O335" i="41"/>
  <c r="O343" i="41"/>
  <c r="O351" i="41"/>
  <c r="O228" i="41"/>
  <c r="O294" i="41"/>
  <c r="O302" i="41"/>
  <c r="O311" i="41"/>
  <c r="O319" i="41"/>
  <c r="O326" i="41"/>
  <c r="O327" i="41"/>
  <c r="O328" i="41"/>
  <c r="O338" i="41"/>
  <c r="O346" i="41"/>
  <c r="O307" i="41"/>
  <c r="O315" i="41"/>
  <c r="O341" i="41"/>
  <c r="O349" i="41"/>
  <c r="O292" i="41"/>
  <c r="O336" i="41"/>
  <c r="O344" i="41"/>
  <c r="O352" i="41"/>
  <c r="O251" i="41"/>
  <c r="O301" i="41"/>
  <c r="O310" i="41"/>
  <c r="O318" i="41"/>
  <c r="O331" i="41"/>
  <c r="O332" i="41"/>
  <c r="O333" i="41"/>
  <c r="O339" i="41"/>
  <c r="O347" i="41"/>
  <c r="O334" i="41"/>
  <c r="O342" i="41"/>
  <c r="O350" i="41"/>
  <c r="O337" i="41"/>
  <c r="O345" i="41"/>
  <c r="O317" i="41"/>
  <c r="O353" i="41"/>
  <c r="O309" i="41"/>
  <c r="P493" i="40"/>
  <c r="F493" i="40" s="1"/>
  <c r="O841" i="40"/>
  <c r="O1010" i="40" s="1"/>
  <c r="P385" i="40"/>
  <c r="F385" i="40" s="1"/>
  <c r="P554" i="40"/>
  <c r="P733" i="40" s="1"/>
  <c r="O733" i="40"/>
  <c r="P455" i="40"/>
  <c r="F455" i="40" s="1"/>
  <c r="O803" i="40"/>
  <c r="O972" i="40" s="1"/>
  <c r="P492" i="40"/>
  <c r="F492" i="40" s="1"/>
  <c r="O840" i="40"/>
  <c r="O507" i="40"/>
  <c r="O676" i="40" s="1"/>
  <c r="N855" i="40"/>
  <c r="O387" i="40"/>
  <c r="O556" i="40" s="1"/>
  <c r="N735" i="40"/>
  <c r="P419" i="40"/>
  <c r="F419" i="40" s="1"/>
  <c r="O767" i="40"/>
  <c r="P450" i="40"/>
  <c r="F450" i="40" s="1"/>
  <c r="O798" i="40"/>
  <c r="O967" i="40" s="1"/>
  <c r="O390" i="40"/>
  <c r="O559" i="40" s="1"/>
  <c r="N738" i="40"/>
  <c r="N386" i="40"/>
  <c r="N555" i="40" s="1"/>
  <c r="M734" i="40"/>
  <c r="M903" i="40" s="1"/>
  <c r="O478" i="40"/>
  <c r="O647" i="40" s="1"/>
  <c r="N826" i="40"/>
  <c r="P430" i="40"/>
  <c r="F430" i="40" s="1"/>
  <c r="O778" i="40"/>
  <c r="O383" i="40"/>
  <c r="O552" i="40" s="1"/>
  <c r="N731" i="40"/>
  <c r="N900" i="40" s="1"/>
  <c r="O438" i="40"/>
  <c r="O607" i="40" s="1"/>
  <c r="N786" i="40"/>
  <c r="N955" i="40" s="1"/>
  <c r="O512" i="40"/>
  <c r="O681" i="40" s="1"/>
  <c r="N860" i="40"/>
  <c r="N1029" i="40" s="1"/>
  <c r="N456" i="40"/>
  <c r="N625" i="40" s="1"/>
  <c r="M804" i="40"/>
  <c r="M973" i="40" s="1"/>
  <c r="P439" i="40"/>
  <c r="F439" i="40" s="1"/>
  <c r="O787" i="40"/>
  <c r="O497" i="40"/>
  <c r="O666" i="40" s="1"/>
  <c r="N845" i="40"/>
  <c r="N1014" i="40" s="1"/>
  <c r="N504" i="40"/>
  <c r="N673" i="40" s="1"/>
  <c r="M852" i="40"/>
  <c r="M1021" i="40" s="1"/>
  <c r="O363" i="40"/>
  <c r="O532" i="40" s="1"/>
  <c r="N711" i="40"/>
  <c r="N880" i="40" s="1"/>
  <c r="O452" i="40"/>
  <c r="O621" i="40" s="1"/>
  <c r="N800" i="40"/>
  <c r="N969" i="40" s="1"/>
  <c r="O508" i="40"/>
  <c r="O677" i="40" s="1"/>
  <c r="N856" i="40"/>
  <c r="P502" i="40"/>
  <c r="F502" i="40" s="1"/>
  <c r="O850" i="40"/>
  <c r="O1019" i="40" s="1"/>
  <c r="P480" i="40"/>
  <c r="F480" i="40" s="1"/>
  <c r="O828" i="40"/>
  <c r="O997" i="40" s="1"/>
  <c r="N405" i="40"/>
  <c r="N574" i="40" s="1"/>
  <c r="M753" i="40"/>
  <c r="M922" i="40" s="1"/>
  <c r="N402" i="40"/>
  <c r="N571" i="40" s="1"/>
  <c r="M750" i="40"/>
  <c r="M919" i="40" s="1"/>
  <c r="M384" i="40"/>
  <c r="M553" i="40" s="1"/>
  <c r="L732" i="40"/>
  <c r="L901" i="40" s="1"/>
  <c r="O447" i="40"/>
  <c r="O616" i="40" s="1"/>
  <c r="N795" i="40"/>
  <c r="P494" i="40"/>
  <c r="F494" i="40" s="1"/>
  <c r="O842" i="40"/>
  <c r="O458" i="40"/>
  <c r="O627" i="40" s="1"/>
  <c r="N806" i="40"/>
  <c r="P477" i="40"/>
  <c r="F477" i="40" s="1"/>
  <c r="O825" i="40"/>
  <c r="O515" i="40"/>
  <c r="O684" i="40" s="1"/>
  <c r="N863" i="40"/>
  <c r="N1032" i="40" s="1"/>
  <c r="N466" i="40"/>
  <c r="N635" i="40" s="1"/>
  <c r="M814" i="40"/>
  <c r="M983" i="40" s="1"/>
  <c r="N382" i="40"/>
  <c r="N551" i="40" s="1"/>
  <c r="M730" i="40"/>
  <c r="M899" i="40" s="1"/>
  <c r="O429" i="40"/>
  <c r="O598" i="40" s="1"/>
  <c r="N777" i="40"/>
  <c r="N946" i="40" s="1"/>
  <c r="P437" i="40"/>
  <c r="F437" i="40" s="1"/>
  <c r="O785" i="40"/>
  <c r="P485" i="40"/>
  <c r="F485" i="40" s="1"/>
  <c r="O833" i="40"/>
  <c r="O1002" i="40" s="1"/>
  <c r="N503" i="40"/>
  <c r="N672" i="40" s="1"/>
  <c r="M851" i="40"/>
  <c r="P506" i="40"/>
  <c r="F506" i="40" s="1"/>
  <c r="O854" i="40"/>
  <c r="O1023" i="40" s="1"/>
  <c r="P472" i="40"/>
  <c r="F472" i="40" s="1"/>
  <c r="O820" i="40"/>
  <c r="P517" i="40"/>
  <c r="F517" i="40" s="1"/>
  <c r="O865" i="40"/>
  <c r="O1034" i="40" s="1"/>
  <c r="O370" i="40"/>
  <c r="O539" i="40" s="1"/>
  <c r="N718" i="40"/>
  <c r="N887" i="40" s="1"/>
  <c r="P481" i="40"/>
  <c r="F481" i="40" s="1"/>
  <c r="O829" i="40"/>
  <c r="O434" i="40"/>
  <c r="O603" i="40" s="1"/>
  <c r="N782" i="40"/>
  <c r="N951" i="40" s="1"/>
  <c r="H124" i="16"/>
  <c r="H126" i="16" s="1"/>
  <c r="H127" i="16" s="1"/>
  <c r="H139" i="16"/>
  <c r="H177" i="16" s="1"/>
  <c r="P488" i="40"/>
  <c r="F488" i="40" s="1"/>
  <c r="O836" i="40"/>
  <c r="O1005" i="40" s="1"/>
  <c r="P431" i="40"/>
  <c r="F431" i="40" s="1"/>
  <c r="O779" i="40"/>
  <c r="N28" i="10"/>
  <c r="N32" i="10" s="1"/>
  <c r="N37" i="10" s="1"/>
  <c r="P7" i="41" s="1"/>
  <c r="P683" i="40"/>
  <c r="O199" i="37"/>
  <c r="O203" i="37" s="1"/>
  <c r="O204" i="37" s="1"/>
  <c r="O902" i="40"/>
  <c r="P761" i="40"/>
  <c r="P930" i="40" s="1"/>
  <c r="F582" i="40"/>
  <c r="I86" i="16"/>
  <c r="I95" i="16"/>
  <c r="I173" i="16" s="1"/>
  <c r="J88" i="16"/>
  <c r="J93" i="16"/>
  <c r="J163" i="16" s="1"/>
  <c r="P656" i="40"/>
  <c r="M1014" i="40"/>
  <c r="J89" i="16"/>
  <c r="J153" i="16" s="1"/>
  <c r="P664" i="40"/>
  <c r="N371" i="40"/>
  <c r="N540" i="40" s="1"/>
  <c r="M719" i="40"/>
  <c r="M888" i="40" s="1"/>
  <c r="P678" i="40"/>
  <c r="P573" i="40"/>
  <c r="O703" i="40"/>
  <c r="O872" i="40" s="1"/>
  <c r="P524" i="40"/>
  <c r="P648" i="40"/>
  <c r="O442" i="40"/>
  <c r="O611" i="40" s="1"/>
  <c r="N790" i="40"/>
  <c r="N959" i="40" s="1"/>
  <c r="M380" i="40"/>
  <c r="M549" i="40" s="1"/>
  <c r="L728" i="40"/>
  <c r="L897" i="40" s="1"/>
  <c r="P682" i="40"/>
  <c r="K897" i="40"/>
  <c r="N500" i="40"/>
  <c r="N669" i="40" s="1"/>
  <c r="M848" i="40"/>
  <c r="O1027" i="40"/>
  <c r="P630" i="40"/>
  <c r="J87" i="16"/>
  <c r="J143" i="16" s="1"/>
  <c r="P424" i="40"/>
  <c r="F424" i="40" s="1"/>
  <c r="O772" i="40"/>
  <c r="O941" i="40" s="1"/>
  <c r="P707" i="40"/>
  <c r="P876" i="40" s="1"/>
  <c r="F528" i="40"/>
  <c r="M418" i="40"/>
  <c r="M587" i="40" s="1"/>
  <c r="L766" i="40"/>
  <c r="O365" i="40"/>
  <c r="O534" i="40" s="1"/>
  <c r="N713" i="40"/>
  <c r="N882" i="40" s="1"/>
  <c r="P511" i="40"/>
  <c r="F511" i="40" s="1"/>
  <c r="O859" i="40"/>
  <c r="O423" i="40"/>
  <c r="O592" i="40" s="1"/>
  <c r="N771" i="40"/>
  <c r="N940" i="40" s="1"/>
  <c r="M358" i="40"/>
  <c r="M527" i="40" s="1"/>
  <c r="L706" i="40"/>
  <c r="L875" i="40" s="1"/>
  <c r="L689" i="40"/>
  <c r="N751" i="40"/>
  <c r="O403" i="40"/>
  <c r="O572" i="40" s="1"/>
  <c r="P496" i="40"/>
  <c r="F496" i="40" s="1"/>
  <c r="O844" i="40"/>
  <c r="P819" i="40"/>
  <c r="P988" i="40" s="1"/>
  <c r="F640" i="40"/>
  <c r="O470" i="40"/>
  <c r="O639" i="40" s="1"/>
  <c r="N818" i="40"/>
  <c r="N987" i="40" s="1"/>
  <c r="P486" i="40"/>
  <c r="F486" i="40" s="1"/>
  <c r="O834" i="40"/>
  <c r="O1003" i="40" s="1"/>
  <c r="P373" i="40"/>
  <c r="F373" i="40" s="1"/>
  <c r="O721" i="40"/>
  <c r="O890" i="40" s="1"/>
  <c r="P858" i="40"/>
  <c r="P1027" i="40" s="1"/>
  <c r="F679" i="40"/>
  <c r="N1001" i="40"/>
  <c r="L879" i="40"/>
  <c r="P377" i="40"/>
  <c r="F377" i="40" s="1"/>
  <c r="O725" i="40"/>
  <c r="O894" i="40" s="1"/>
  <c r="O445" i="40"/>
  <c r="O614" i="40" s="1"/>
  <c r="N793" i="40"/>
  <c r="N1025" i="40"/>
  <c r="O444" i="40"/>
  <c r="O613" i="40" s="1"/>
  <c r="N792" i="40"/>
  <c r="N961" i="40" s="1"/>
  <c r="O435" i="40"/>
  <c r="O604" i="40" s="1"/>
  <c r="N783" i="40"/>
  <c r="N952" i="40" s="1"/>
  <c r="N717" i="40"/>
  <c r="O369" i="40"/>
  <c r="O538" i="40"/>
  <c r="N991" i="40"/>
  <c r="O361" i="40"/>
  <c r="O530" i="40" s="1"/>
  <c r="N709" i="40"/>
  <c r="N1024" i="40"/>
  <c r="O956" i="40"/>
  <c r="O421" i="40"/>
  <c r="O590" i="40" s="1"/>
  <c r="N769" i="40"/>
  <c r="M952" i="40"/>
  <c r="O440" i="40"/>
  <c r="O609" i="40" s="1"/>
  <c r="N788" i="40"/>
  <c r="N957" i="40" s="1"/>
  <c r="O391" i="40"/>
  <c r="O560" i="40" s="1"/>
  <c r="N739" i="40"/>
  <c r="N908" i="40" s="1"/>
  <c r="I192" i="37"/>
  <c r="I194" i="37" s="1"/>
  <c r="I202" i="37" s="1"/>
  <c r="I152" i="37"/>
  <c r="O1012" i="40"/>
  <c r="N414" i="40"/>
  <c r="N583" i="40" s="1"/>
  <c r="M762" i="40"/>
  <c r="M931" i="40" s="1"/>
  <c r="O989" i="40"/>
  <c r="N896" i="40"/>
  <c r="P757" i="40"/>
  <c r="P926" i="40" s="1"/>
  <c r="F578" i="40"/>
  <c r="O432" i="40"/>
  <c r="O601" i="40" s="1"/>
  <c r="N780" i="40"/>
  <c r="N949" i="40" s="1"/>
  <c r="O463" i="40"/>
  <c r="O632" i="40" s="1"/>
  <c r="N811" i="40"/>
  <c r="N980" i="40" s="1"/>
  <c r="N376" i="40"/>
  <c r="N545" i="40" s="1"/>
  <c r="M724" i="40"/>
  <c r="O408" i="40"/>
  <c r="O577" i="40" s="1"/>
  <c r="N756" i="40"/>
  <c r="N925" i="40" s="1"/>
  <c r="P847" i="40"/>
  <c r="P1016" i="40" s="1"/>
  <c r="F668" i="40"/>
  <c r="N977" i="40"/>
  <c r="O375" i="40"/>
  <c r="O544" i="40" s="1"/>
  <c r="N723" i="40"/>
  <c r="N892" i="40" s="1"/>
  <c r="P399" i="40"/>
  <c r="F399" i="40" s="1"/>
  <c r="O747" i="40"/>
  <c r="O916" i="40" s="1"/>
  <c r="P760" i="40"/>
  <c r="P929" i="40" s="1"/>
  <c r="F581" i="40"/>
  <c r="P454" i="40"/>
  <c r="F454" i="40" s="1"/>
  <c r="O802" i="40"/>
  <c r="O971" i="40" s="1"/>
  <c r="N964" i="40"/>
  <c r="M964" i="40"/>
  <c r="O428" i="40"/>
  <c r="O597" i="40" s="1"/>
  <c r="N776" i="40"/>
  <c r="N945" i="40" s="1"/>
  <c r="O921" i="40"/>
  <c r="P618" i="40"/>
  <c r="H199" i="37"/>
  <c r="H203" i="37" s="1"/>
  <c r="H204" i="37" s="1"/>
  <c r="M958" i="40"/>
  <c r="K909" i="40"/>
  <c r="L1021" i="40"/>
  <c r="M1001" i="40"/>
  <c r="M957" i="40"/>
  <c r="I94" i="16"/>
  <c r="N918" i="40"/>
  <c r="O994" i="40"/>
  <c r="L889" i="40"/>
  <c r="M946" i="40"/>
  <c r="N374" i="40"/>
  <c r="N543" i="40" s="1"/>
  <c r="M722" i="40"/>
  <c r="O954" i="40"/>
  <c r="O498" i="40"/>
  <c r="O667" i="40" s="1"/>
  <c r="N846" i="40"/>
  <c r="P473" i="40"/>
  <c r="F473" i="40" s="1"/>
  <c r="O821" i="40"/>
  <c r="M923" i="40"/>
  <c r="P389" i="40"/>
  <c r="F389" i="40" s="1"/>
  <c r="O737" i="40"/>
  <c r="O906" i="40" s="1"/>
  <c r="P558" i="40"/>
  <c r="M945" i="40"/>
  <c r="O441" i="40"/>
  <c r="O610" i="40" s="1"/>
  <c r="N789" i="40"/>
  <c r="N958" i="40" s="1"/>
  <c r="N410" i="40"/>
  <c r="N579" i="40" s="1"/>
  <c r="M758" i="40"/>
  <c r="M927" i="40" s="1"/>
  <c r="O451" i="40"/>
  <c r="O620" i="40" s="1"/>
  <c r="N799" i="40"/>
  <c r="M392" i="40"/>
  <c r="M561" i="40" s="1"/>
  <c r="L740" i="40"/>
  <c r="L909" i="40" s="1"/>
  <c r="O420" i="40"/>
  <c r="O589" i="40" s="1"/>
  <c r="N768" i="40"/>
  <c r="N937" i="40" s="1"/>
  <c r="P866" i="40"/>
  <c r="P1035" i="40" s="1"/>
  <c r="F687" i="40"/>
  <c r="N702" i="40"/>
  <c r="N871" i="40" s="1"/>
  <c r="O523" i="40"/>
  <c r="O443" i="40"/>
  <c r="O612" i="40" s="1"/>
  <c r="N791" i="40"/>
  <c r="I117" i="37"/>
  <c r="I39" i="37" s="1"/>
  <c r="I157" i="37"/>
  <c r="O1004" i="40"/>
  <c r="M937" i="40"/>
  <c r="P393" i="40"/>
  <c r="F393" i="40" s="1"/>
  <c r="O741" i="40"/>
  <c r="O910" i="40" s="1"/>
  <c r="N360" i="40"/>
  <c r="N529" i="40" s="1"/>
  <c r="M708" i="40"/>
  <c r="N967" i="40"/>
  <c r="O966" i="40"/>
  <c r="L983" i="40"/>
  <c r="P401" i="40"/>
  <c r="F401" i="40" s="1"/>
  <c r="O749" i="40"/>
  <c r="O1030" i="40"/>
  <c r="M986" i="40"/>
  <c r="P516" i="40"/>
  <c r="F516" i="40" s="1"/>
  <c r="O864" i="40"/>
  <c r="O1033" i="40" s="1"/>
  <c r="N975" i="40"/>
  <c r="M1020" i="40"/>
  <c r="N1006" i="40"/>
  <c r="M398" i="40"/>
  <c r="M567" i="40" s="1"/>
  <c r="L746" i="40"/>
  <c r="O425" i="40"/>
  <c r="O594" i="40" s="1"/>
  <c r="N773" i="40"/>
  <c r="M426" i="40"/>
  <c r="M595" i="40" s="1"/>
  <c r="L774" i="40"/>
  <c r="L943" i="40" s="1"/>
  <c r="O996" i="40"/>
  <c r="L923" i="40"/>
  <c r="O1009" i="40"/>
  <c r="J8" i="22"/>
  <c r="L205" i="37"/>
  <c r="P839" i="40"/>
  <c r="P1008" i="40" s="1"/>
  <c r="F660" i="40"/>
  <c r="N904" i="40"/>
  <c r="N1007" i="40"/>
  <c r="P415" i="40"/>
  <c r="F415" i="40" s="1"/>
  <c r="O763" i="40"/>
  <c r="O936" i="40"/>
  <c r="O453" i="40"/>
  <c r="O622" i="40" s="1"/>
  <c r="N801" i="40"/>
  <c r="M886" i="40"/>
  <c r="L891" i="40"/>
  <c r="I92" i="16"/>
  <c r="M871" i="40"/>
  <c r="M968" i="40"/>
  <c r="P781" i="40"/>
  <c r="P950" i="40" s="1"/>
  <c r="F602" i="40"/>
  <c r="N965" i="40"/>
  <c r="O397" i="40"/>
  <c r="O566" i="40" s="1"/>
  <c r="N745" i="40"/>
  <c r="N476" i="40"/>
  <c r="N645" i="40" s="1"/>
  <c r="M824" i="40"/>
  <c r="O1011" i="40"/>
  <c r="O462" i="40"/>
  <c r="O631" i="40" s="1"/>
  <c r="N810" i="40"/>
  <c r="M378" i="40"/>
  <c r="M547" i="40" s="1"/>
  <c r="L726" i="40"/>
  <c r="N364" i="40"/>
  <c r="N533" i="40" s="1"/>
  <c r="M712" i="40"/>
  <c r="M881" i="40" s="1"/>
  <c r="O947" i="40"/>
  <c r="F644" i="40"/>
  <c r="O944" i="40"/>
  <c r="O381" i="40"/>
  <c r="O550" i="40" s="1"/>
  <c r="N729" i="40"/>
  <c r="N898" i="40" s="1"/>
  <c r="O483" i="40"/>
  <c r="O652" i="40" s="1"/>
  <c r="N831" i="40"/>
  <c r="N1000" i="40" s="1"/>
  <c r="O482" i="40"/>
  <c r="O651" i="40" s="1"/>
  <c r="N830" i="40"/>
  <c r="N999" i="40" s="1"/>
  <c r="O468" i="40"/>
  <c r="O637" i="40" s="1"/>
  <c r="N816" i="40"/>
  <c r="N985" i="40" s="1"/>
  <c r="O998" i="40"/>
  <c r="N422" i="40"/>
  <c r="N591" i="40" s="1"/>
  <c r="M770" i="40"/>
  <c r="M939" i="40" s="1"/>
  <c r="M436" i="40"/>
  <c r="M605" i="40" s="1"/>
  <c r="L784" i="40"/>
  <c r="M388" i="40"/>
  <c r="M557" i="40" s="1"/>
  <c r="L736" i="40"/>
  <c r="M1015" i="40"/>
  <c r="N1010" i="40"/>
  <c r="M959" i="40"/>
  <c r="L888" i="40"/>
  <c r="M991" i="40"/>
  <c r="I130" i="16"/>
  <c r="I149" i="16"/>
  <c r="I183" i="16" s="1"/>
  <c r="M995" i="40"/>
  <c r="K915" i="40"/>
  <c r="N962" i="40"/>
  <c r="P992" i="40"/>
  <c r="H184" i="16"/>
  <c r="H185" i="16" s="1"/>
  <c r="O394" i="40"/>
  <c r="O563" i="40" s="1"/>
  <c r="N742" i="40"/>
  <c r="O948" i="40"/>
  <c r="H179" i="16" l="1"/>
  <c r="F9" i="22" s="1"/>
  <c r="P655" i="40"/>
  <c r="P585" i="40"/>
  <c r="P654" i="40"/>
  <c r="P586" i="40"/>
  <c r="P686" i="40"/>
  <c r="P665" i="40"/>
  <c r="P675" i="40"/>
  <c r="P588" i="40"/>
  <c r="P767" i="40" s="1"/>
  <c r="P936" i="40" s="1"/>
  <c r="P661" i="40"/>
  <c r="P584" i="40"/>
  <c r="P685" i="40"/>
  <c r="P864" i="40" s="1"/>
  <c r="P1033" i="40" s="1"/>
  <c r="P680" i="40"/>
  <c r="P546" i="40"/>
  <c r="P570" i="40"/>
  <c r="P662" i="40"/>
  <c r="P624" i="40"/>
  <c r="P803" i="40" s="1"/>
  <c r="P972" i="40" s="1"/>
  <c r="O934" i="40"/>
  <c r="P641" i="40"/>
  <c r="P820" i="40" s="1"/>
  <c r="P989" i="40" s="1"/>
  <c r="P671" i="40"/>
  <c r="P619" i="40"/>
  <c r="P798" i="40" s="1"/>
  <c r="P642" i="40"/>
  <c r="P542" i="40"/>
  <c r="P670" i="40"/>
  <c r="K89" i="16"/>
  <c r="K153" i="16" s="1"/>
  <c r="J95" i="16"/>
  <c r="J173" i="16" s="1"/>
  <c r="K93" i="16"/>
  <c r="K163" i="16" s="1"/>
  <c r="J94" i="16"/>
  <c r="J169" i="16" s="1"/>
  <c r="P408" i="40"/>
  <c r="F408" i="40" s="1"/>
  <c r="O756" i="40"/>
  <c r="O925" i="40" s="1"/>
  <c r="P391" i="40"/>
  <c r="F391" i="40" s="1"/>
  <c r="O739" i="40"/>
  <c r="O908" i="40" s="1"/>
  <c r="P365" i="40"/>
  <c r="F365" i="40" s="1"/>
  <c r="O713" i="40"/>
  <c r="O882" i="40" s="1"/>
  <c r="N398" i="40"/>
  <c r="N567" i="40" s="1"/>
  <c r="M746" i="40"/>
  <c r="M915" i="40" s="1"/>
  <c r="P451" i="40"/>
  <c r="F451" i="40" s="1"/>
  <c r="P620" i="40"/>
  <c r="O799" i="40"/>
  <c r="O968" i="40" s="1"/>
  <c r="P445" i="40"/>
  <c r="F445" i="40" s="1"/>
  <c r="O793" i="40"/>
  <c r="O962" i="40" s="1"/>
  <c r="N358" i="40"/>
  <c r="N527" i="40" s="1"/>
  <c r="M706" i="40"/>
  <c r="M875" i="40" s="1"/>
  <c r="M689" i="40"/>
  <c r="N384" i="40"/>
  <c r="N553" i="40" s="1"/>
  <c r="M732" i="40"/>
  <c r="M901" i="40" s="1"/>
  <c r="P512" i="40"/>
  <c r="F512" i="40" s="1"/>
  <c r="O860" i="40"/>
  <c r="O371" i="40"/>
  <c r="O540" i="40" s="1"/>
  <c r="N719" i="40"/>
  <c r="N888" i="40" s="1"/>
  <c r="P462" i="40"/>
  <c r="F462" i="40" s="1"/>
  <c r="O810" i="40"/>
  <c r="O376" i="40"/>
  <c r="O545" i="40" s="1"/>
  <c r="N724" i="40"/>
  <c r="N893" i="40" s="1"/>
  <c r="P440" i="40"/>
  <c r="F440" i="40" s="1"/>
  <c r="O788" i="40"/>
  <c r="O957" i="40" s="1"/>
  <c r="O382" i="40"/>
  <c r="O551" i="40" s="1"/>
  <c r="N730" i="40"/>
  <c r="N899" i="40" s="1"/>
  <c r="P448" i="40"/>
  <c r="F448" i="40" s="1"/>
  <c r="O796" i="40"/>
  <c r="O965" i="40" s="1"/>
  <c r="P505" i="40"/>
  <c r="F505" i="40" s="1"/>
  <c r="P674" i="40"/>
  <c r="O853" i="40"/>
  <c r="O364" i="40"/>
  <c r="O533" i="40" s="1"/>
  <c r="N712" i="40"/>
  <c r="N881" i="40" s="1"/>
  <c r="P403" i="40"/>
  <c r="F403" i="40" s="1"/>
  <c r="O751" i="40"/>
  <c r="O920" i="40" s="1"/>
  <c r="N372" i="40"/>
  <c r="N541" i="40" s="1"/>
  <c r="M720" i="40"/>
  <c r="P370" i="40"/>
  <c r="F370" i="40" s="1"/>
  <c r="O718" i="40"/>
  <c r="P363" i="40"/>
  <c r="F363" i="40" s="1"/>
  <c r="O711" i="40"/>
  <c r="N557" i="40"/>
  <c r="N388" i="40"/>
  <c r="M736" i="40"/>
  <c r="M905" i="40" s="1"/>
  <c r="O466" i="40"/>
  <c r="O635" i="40" s="1"/>
  <c r="N814" i="40"/>
  <c r="N983" i="40" s="1"/>
  <c r="P381" i="40"/>
  <c r="F381" i="40" s="1"/>
  <c r="O729" i="40"/>
  <c r="O898" i="40" s="1"/>
  <c r="P443" i="40"/>
  <c r="F443" i="40" s="1"/>
  <c r="O791" i="40"/>
  <c r="P441" i="40"/>
  <c r="F441" i="40" s="1"/>
  <c r="O789" i="40"/>
  <c r="O958" i="40" s="1"/>
  <c r="N436" i="40"/>
  <c r="N605" i="40" s="1"/>
  <c r="M784" i="40"/>
  <c r="M953" i="40" s="1"/>
  <c r="N378" i="40"/>
  <c r="N547" i="40" s="1"/>
  <c r="M726" i="40"/>
  <c r="M895" i="40" s="1"/>
  <c r="P515" i="40"/>
  <c r="F515" i="40" s="1"/>
  <c r="O863" i="40"/>
  <c r="O386" i="40"/>
  <c r="O555" i="40" s="1"/>
  <c r="N734" i="40"/>
  <c r="O467" i="40"/>
  <c r="O636" i="40" s="1"/>
  <c r="N815" i="40"/>
  <c r="N984" i="40" s="1"/>
  <c r="O476" i="40"/>
  <c r="O645" i="40" s="1"/>
  <c r="N824" i="40"/>
  <c r="N993" i="40" s="1"/>
  <c r="O410" i="40"/>
  <c r="O579" i="40" s="1"/>
  <c r="N758" i="40"/>
  <c r="N927" i="40" s="1"/>
  <c r="P423" i="40"/>
  <c r="F423" i="40" s="1"/>
  <c r="O771" i="40"/>
  <c r="P420" i="40"/>
  <c r="F420" i="40" s="1"/>
  <c r="O768" i="40"/>
  <c r="P507" i="40"/>
  <c r="F507" i="40" s="1"/>
  <c r="O855" i="40"/>
  <c r="P397" i="40"/>
  <c r="F397" i="40" s="1"/>
  <c r="O745" i="40"/>
  <c r="O914" i="40" s="1"/>
  <c r="P453" i="40"/>
  <c r="F453" i="40" s="1"/>
  <c r="O801" i="40"/>
  <c r="O970" i="40" s="1"/>
  <c r="P189" i="41"/>
  <c r="P196" i="41"/>
  <c r="P203" i="41"/>
  <c r="P211" i="41"/>
  <c r="F211" i="41" s="1"/>
  <c r="P219" i="41"/>
  <c r="F219" i="41" s="1"/>
  <c r="P199" i="41"/>
  <c r="F199" i="41" s="1"/>
  <c r="P206" i="41"/>
  <c r="F206" i="41" s="1"/>
  <c r="P214" i="41"/>
  <c r="F214" i="41" s="1"/>
  <c r="P194" i="41"/>
  <c r="F194" i="41" s="1"/>
  <c r="P209" i="41"/>
  <c r="F209" i="41" s="1"/>
  <c r="P190" i="41"/>
  <c r="F190" i="41" s="1"/>
  <c r="P200" i="41"/>
  <c r="F200" i="41" s="1"/>
  <c r="P207" i="41"/>
  <c r="F207" i="41" s="1"/>
  <c r="P215" i="41"/>
  <c r="P195" i="41"/>
  <c r="F195" i="41" s="1"/>
  <c r="P210" i="41"/>
  <c r="F210" i="41" s="1"/>
  <c r="P212" i="41"/>
  <c r="F212" i="41" s="1"/>
  <c r="P228" i="41"/>
  <c r="F228" i="41" s="1"/>
  <c r="P235" i="41"/>
  <c r="P243" i="41"/>
  <c r="F243" i="41" s="1"/>
  <c r="P251" i="41"/>
  <c r="F251" i="41" s="1"/>
  <c r="P259" i="41"/>
  <c r="F259" i="41" s="1"/>
  <c r="P267" i="41"/>
  <c r="F267" i="41" s="1"/>
  <c r="P275" i="41"/>
  <c r="F275" i="41" s="1"/>
  <c r="P283" i="41"/>
  <c r="F283" i="41" s="1"/>
  <c r="P193" i="41"/>
  <c r="F193" i="41" s="1"/>
  <c r="P222" i="41"/>
  <c r="F222" i="41" s="1"/>
  <c r="P238" i="41"/>
  <c r="F238" i="41" s="1"/>
  <c r="P246" i="41"/>
  <c r="F246" i="41" s="1"/>
  <c r="P254" i="41"/>
  <c r="F254" i="41" s="1"/>
  <c r="P262" i="41"/>
  <c r="F262" i="41" s="1"/>
  <c r="P197" i="41"/>
  <c r="F197" i="41" s="1"/>
  <c r="P204" i="41"/>
  <c r="F204" i="41" s="1"/>
  <c r="P226" i="41"/>
  <c r="F226" i="41" s="1"/>
  <c r="P233" i="41"/>
  <c r="F233" i="41" s="1"/>
  <c r="P241" i="41"/>
  <c r="F241" i="41" s="1"/>
  <c r="P249" i="41"/>
  <c r="F249" i="41" s="1"/>
  <c r="P257" i="41"/>
  <c r="F257" i="41" s="1"/>
  <c r="P265" i="41"/>
  <c r="F265" i="41" s="1"/>
  <c r="P273" i="41"/>
  <c r="F273" i="41" s="1"/>
  <c r="P218" i="41"/>
  <c r="F218" i="41" s="1"/>
  <c r="P223" i="41"/>
  <c r="F223" i="41" s="1"/>
  <c r="P229" i="41"/>
  <c r="P236" i="41"/>
  <c r="F236" i="41" s="1"/>
  <c r="P244" i="41"/>
  <c r="F244" i="41" s="1"/>
  <c r="P252" i="41"/>
  <c r="F252" i="41" s="1"/>
  <c r="P260" i="41"/>
  <c r="F260" i="41" s="1"/>
  <c r="P268" i="41"/>
  <c r="F268" i="41" s="1"/>
  <c r="P276" i="41"/>
  <c r="F276" i="41" s="1"/>
  <c r="P284" i="41"/>
  <c r="F284" i="41" s="1"/>
  <c r="P217" i="41"/>
  <c r="F217" i="41" s="1"/>
  <c r="P239" i="41"/>
  <c r="F239" i="41" s="1"/>
  <c r="P247" i="41"/>
  <c r="F247" i="41" s="1"/>
  <c r="P208" i="41"/>
  <c r="F208" i="41" s="1"/>
  <c r="P213" i="41"/>
  <c r="F213" i="41" s="1"/>
  <c r="P220" i="41"/>
  <c r="F220" i="41" s="1"/>
  <c r="P224" i="41"/>
  <c r="F224" i="41" s="1"/>
  <c r="P227" i="41"/>
  <c r="F227" i="41" s="1"/>
  <c r="P234" i="41"/>
  <c r="F234" i="41" s="1"/>
  <c r="P242" i="41"/>
  <c r="F242" i="41" s="1"/>
  <c r="P250" i="41"/>
  <c r="F250" i="41" s="1"/>
  <c r="P258" i="41"/>
  <c r="F258" i="41" s="1"/>
  <c r="P216" i="41"/>
  <c r="F216" i="41" s="1"/>
  <c r="P237" i="41"/>
  <c r="F237" i="41" s="1"/>
  <c r="P245" i="41"/>
  <c r="F245" i="41" s="1"/>
  <c r="P253" i="41"/>
  <c r="F253" i="41" s="1"/>
  <c r="P261" i="41"/>
  <c r="F261" i="41" s="1"/>
  <c r="P269" i="41"/>
  <c r="F269" i="41" s="1"/>
  <c r="P277" i="41"/>
  <c r="F277" i="41" s="1"/>
  <c r="P221" i="41"/>
  <c r="F221" i="41" s="1"/>
  <c r="P256" i="41"/>
  <c r="F256" i="41" s="1"/>
  <c r="P263" i="41"/>
  <c r="F263" i="41" s="1"/>
  <c r="P292" i="41"/>
  <c r="F292" i="41" s="1"/>
  <c r="P225" i="41"/>
  <c r="F225" i="41" s="1"/>
  <c r="P248" i="41"/>
  <c r="F248" i="41" s="1"/>
  <c r="P272" i="41"/>
  <c r="F272" i="41" s="1"/>
  <c r="P287" i="41"/>
  <c r="F287" i="41" s="1"/>
  <c r="P295" i="41"/>
  <c r="F295" i="41" s="1"/>
  <c r="P302" i="41"/>
  <c r="F302" i="41" s="1"/>
  <c r="P310" i="41"/>
  <c r="F310" i="41" s="1"/>
  <c r="P318" i="41"/>
  <c r="F318" i="41" s="1"/>
  <c r="P326" i="41"/>
  <c r="F326" i="41" s="1"/>
  <c r="P271" i="41"/>
  <c r="P290" i="41"/>
  <c r="F290" i="41" s="1"/>
  <c r="P298" i="41"/>
  <c r="F298" i="41" s="1"/>
  <c r="P305" i="41"/>
  <c r="F305" i="41" s="1"/>
  <c r="P313" i="41"/>
  <c r="F313" i="41" s="1"/>
  <c r="P321" i="41"/>
  <c r="F321" i="41" s="1"/>
  <c r="P279" i="41"/>
  <c r="F279" i="41" s="1"/>
  <c r="P293" i="41"/>
  <c r="F293" i="41" s="1"/>
  <c r="P255" i="41"/>
  <c r="F255" i="41" s="1"/>
  <c r="P270" i="41"/>
  <c r="F270" i="41" s="1"/>
  <c r="P274" i="41"/>
  <c r="F274" i="41" s="1"/>
  <c r="P278" i="41"/>
  <c r="F278" i="41" s="1"/>
  <c r="P280" i="41"/>
  <c r="F280" i="41" s="1"/>
  <c r="P281" i="41"/>
  <c r="F281" i="41" s="1"/>
  <c r="P282" i="41"/>
  <c r="F282" i="41" s="1"/>
  <c r="P288" i="41"/>
  <c r="F288" i="41" s="1"/>
  <c r="P296" i="41"/>
  <c r="F296" i="41" s="1"/>
  <c r="P303" i="41"/>
  <c r="F303" i="41" s="1"/>
  <c r="P311" i="41"/>
  <c r="F311" i="41" s="1"/>
  <c r="P319" i="41"/>
  <c r="F319" i="41" s="1"/>
  <c r="P327" i="41"/>
  <c r="F327" i="41" s="1"/>
  <c r="P232" i="41"/>
  <c r="F232" i="41" s="1"/>
  <c r="P264" i="41"/>
  <c r="F264" i="41" s="1"/>
  <c r="P285" i="41"/>
  <c r="P198" i="41"/>
  <c r="F198" i="41" s="1"/>
  <c r="P266" i="41"/>
  <c r="F266" i="41" s="1"/>
  <c r="P286" i="41"/>
  <c r="F286" i="41" s="1"/>
  <c r="P294" i="41"/>
  <c r="P301" i="41"/>
  <c r="F301" i="41" s="1"/>
  <c r="P309" i="41"/>
  <c r="F309" i="41" s="1"/>
  <c r="P317" i="41"/>
  <c r="F317" i="41" s="1"/>
  <c r="P240" i="41"/>
  <c r="F240" i="41" s="1"/>
  <c r="P337" i="41"/>
  <c r="F337" i="41" s="1"/>
  <c r="P345" i="41"/>
  <c r="F345" i="41" s="1"/>
  <c r="P353" i="41"/>
  <c r="F353" i="41" s="1"/>
  <c r="P205" i="41"/>
  <c r="F205" i="41" s="1"/>
  <c r="P291" i="41"/>
  <c r="F291" i="41" s="1"/>
  <c r="P312" i="41"/>
  <c r="F312" i="41" s="1"/>
  <c r="P322" i="41"/>
  <c r="F322" i="41" s="1"/>
  <c r="P340" i="41"/>
  <c r="F340" i="41" s="1"/>
  <c r="P348" i="41"/>
  <c r="P289" i="41"/>
  <c r="F289" i="41" s="1"/>
  <c r="P308" i="41"/>
  <c r="F308" i="41" s="1"/>
  <c r="P316" i="41"/>
  <c r="F316" i="41" s="1"/>
  <c r="P320" i="41"/>
  <c r="F320" i="41" s="1"/>
  <c r="P323" i="41"/>
  <c r="F323" i="41" s="1"/>
  <c r="P324" i="41"/>
  <c r="F324" i="41" s="1"/>
  <c r="P325" i="41"/>
  <c r="F325" i="41" s="1"/>
  <c r="P335" i="41"/>
  <c r="F335" i="41" s="1"/>
  <c r="P343" i="41"/>
  <c r="P351" i="41"/>
  <c r="F351" i="41" s="1"/>
  <c r="P328" i="41"/>
  <c r="F328" i="41" s="1"/>
  <c r="P338" i="41"/>
  <c r="F338" i="41" s="1"/>
  <c r="P346" i="41"/>
  <c r="F346" i="41" s="1"/>
  <c r="P304" i="41"/>
  <c r="F304" i="41" s="1"/>
  <c r="P307" i="41"/>
  <c r="F307" i="41" s="1"/>
  <c r="P315" i="41"/>
  <c r="F315" i="41" s="1"/>
  <c r="P329" i="41"/>
  <c r="F329" i="41" s="1"/>
  <c r="P341" i="41"/>
  <c r="F341" i="41" s="1"/>
  <c r="P349" i="41"/>
  <c r="F349" i="41" s="1"/>
  <c r="P330" i="41"/>
  <c r="F330" i="41" s="1"/>
  <c r="P336" i="41"/>
  <c r="F336" i="41" s="1"/>
  <c r="P344" i="41"/>
  <c r="F344" i="41" s="1"/>
  <c r="P352" i="41"/>
  <c r="F352" i="41" s="1"/>
  <c r="P297" i="41"/>
  <c r="P306" i="41"/>
  <c r="F306" i="41" s="1"/>
  <c r="P314" i="41"/>
  <c r="F314" i="41" s="1"/>
  <c r="P331" i="41"/>
  <c r="F331" i="41" s="1"/>
  <c r="P332" i="41"/>
  <c r="F332" i="41" s="1"/>
  <c r="P333" i="41"/>
  <c r="F333" i="41" s="1"/>
  <c r="P339" i="41"/>
  <c r="F339" i="41" s="1"/>
  <c r="P347" i="41"/>
  <c r="F347" i="41" s="1"/>
  <c r="P334" i="41"/>
  <c r="F334" i="41" s="1"/>
  <c r="P342" i="41"/>
  <c r="F342" i="41" s="1"/>
  <c r="P350" i="41"/>
  <c r="F350" i="41" s="1"/>
  <c r="P447" i="40"/>
  <c r="F447" i="40" s="1"/>
  <c r="O795" i="40"/>
  <c r="O964" i="40" s="1"/>
  <c r="O504" i="40"/>
  <c r="O673" i="40" s="1"/>
  <c r="N852" i="40"/>
  <c r="N1021" i="40" s="1"/>
  <c r="P428" i="40"/>
  <c r="F428" i="40" s="1"/>
  <c r="O776" i="40"/>
  <c r="O945" i="40" s="1"/>
  <c r="P435" i="40"/>
  <c r="F435" i="40" s="1"/>
  <c r="O783" i="40"/>
  <c r="O952" i="40" s="1"/>
  <c r="P468" i="40"/>
  <c r="F468" i="40" s="1"/>
  <c r="O816" i="40"/>
  <c r="O985" i="40" s="1"/>
  <c r="P489" i="40"/>
  <c r="F489" i="40" s="1"/>
  <c r="O837" i="40"/>
  <c r="O1006" i="40" s="1"/>
  <c r="O422" i="40"/>
  <c r="O591" i="40" s="1"/>
  <c r="N770" i="40"/>
  <c r="N939" i="40" s="1"/>
  <c r="P442" i="40"/>
  <c r="F442" i="40" s="1"/>
  <c r="O790" i="40"/>
  <c r="O959" i="40" s="1"/>
  <c r="P429" i="40"/>
  <c r="F429" i="40" s="1"/>
  <c r="O777" i="40"/>
  <c r="O946" i="40" s="1"/>
  <c r="O406" i="40"/>
  <c r="O575" i="40" s="1"/>
  <c r="N754" i="40"/>
  <c r="O360" i="40"/>
  <c r="O529" i="40" s="1"/>
  <c r="N708" i="40"/>
  <c r="N877" i="40" s="1"/>
  <c r="P375" i="40"/>
  <c r="F375" i="40" s="1"/>
  <c r="O723" i="40"/>
  <c r="O892" i="40" s="1"/>
  <c r="P452" i="40"/>
  <c r="F452" i="40" s="1"/>
  <c r="O800" i="40"/>
  <c r="O969" i="40" s="1"/>
  <c r="P497" i="40"/>
  <c r="F497" i="40" s="1"/>
  <c r="O845" i="40"/>
  <c r="O1014" i="40" s="1"/>
  <c r="P482" i="40"/>
  <c r="F482" i="40" s="1"/>
  <c r="O830" i="40"/>
  <c r="O999" i="40" s="1"/>
  <c r="O702" i="40"/>
  <c r="P523" i="40"/>
  <c r="P623" i="40"/>
  <c r="P369" i="40"/>
  <c r="F369" i="40" s="1"/>
  <c r="O717" i="40"/>
  <c r="P593" i="40"/>
  <c r="J92" i="16"/>
  <c r="P752" i="40"/>
  <c r="P921" i="40" s="1"/>
  <c r="F573" i="40"/>
  <c r="P862" i="40"/>
  <c r="P1031" i="40" s="1"/>
  <c r="F683" i="40"/>
  <c r="P657" i="40"/>
  <c r="P649" i="40"/>
  <c r="P608" i="40"/>
  <c r="F343" i="41"/>
  <c r="P615" i="40"/>
  <c r="P394" i="40"/>
  <c r="F394" i="40" s="1"/>
  <c r="O742" i="40"/>
  <c r="I197" i="37"/>
  <c r="I198" i="37"/>
  <c r="J192" i="37"/>
  <c r="P474" i="40"/>
  <c r="F474" i="40" s="1"/>
  <c r="O822" i="40"/>
  <c r="O991" i="40" s="1"/>
  <c r="N392" i="40"/>
  <c r="N561" i="40" s="1"/>
  <c r="M740" i="40"/>
  <c r="M909" i="40" s="1"/>
  <c r="P850" i="40"/>
  <c r="P1019" i="40" s="1"/>
  <c r="F671" i="40"/>
  <c r="P400" i="40"/>
  <c r="F400" i="40" s="1"/>
  <c r="O748" i="40"/>
  <c r="O917" i="40" s="1"/>
  <c r="N942" i="40"/>
  <c r="N911" i="40"/>
  <c r="O918" i="40"/>
  <c r="L953" i="40"/>
  <c r="K88" i="16"/>
  <c r="N886" i="40"/>
  <c r="P646" i="40"/>
  <c r="P663" i="40"/>
  <c r="P599" i="40"/>
  <c r="F235" i="41"/>
  <c r="P460" i="40"/>
  <c r="F460" i="40" s="1"/>
  <c r="O808" i="40"/>
  <c r="O977" i="40" s="1"/>
  <c r="O469" i="40"/>
  <c r="O638" i="40" s="1"/>
  <c r="N817" i="40"/>
  <c r="N986" i="40" s="1"/>
  <c r="P576" i="40"/>
  <c r="P434" i="40"/>
  <c r="F434" i="40" s="1"/>
  <c r="O782" i="40"/>
  <c r="O951" i="40" s="1"/>
  <c r="P833" i="40"/>
  <c r="P1002" i="40" s="1"/>
  <c r="F654" i="40"/>
  <c r="F297" i="41"/>
  <c r="N362" i="40"/>
  <c r="N531" i="40" s="1"/>
  <c r="M710" i="40"/>
  <c r="P821" i="40"/>
  <c r="P990" i="40" s="1"/>
  <c r="F642" i="40"/>
  <c r="P444" i="40"/>
  <c r="F444" i="40" s="1"/>
  <c r="O792" i="40"/>
  <c r="O961" i="40" s="1"/>
  <c r="P844" i="40"/>
  <c r="P1013" i="40" s="1"/>
  <c r="F665" i="40"/>
  <c r="P859" i="40"/>
  <c r="P1028" i="40" s="1"/>
  <c r="F680" i="40"/>
  <c r="P390" i="40"/>
  <c r="F390" i="40" s="1"/>
  <c r="O738" i="40"/>
  <c r="O907" i="40" s="1"/>
  <c r="P840" i="40"/>
  <c r="F661" i="40"/>
  <c r="L905" i="40"/>
  <c r="O960" i="40"/>
  <c r="O990" i="40"/>
  <c r="P809" i="40"/>
  <c r="P978" i="40" s="1"/>
  <c r="F630" i="40"/>
  <c r="P861" i="40"/>
  <c r="P1030" i="40" s="1"/>
  <c r="F682" i="40"/>
  <c r="P827" i="40"/>
  <c r="P996" i="40" s="1"/>
  <c r="F648" i="40"/>
  <c r="O1028" i="40"/>
  <c r="J130" i="16"/>
  <c r="J149" i="16"/>
  <c r="J183" i="16" s="1"/>
  <c r="P865" i="40"/>
  <c r="P1034" i="40" s="1"/>
  <c r="F686" i="40"/>
  <c r="O402" i="40"/>
  <c r="O571" i="40" s="1"/>
  <c r="N750" i="40"/>
  <c r="N919" i="40" s="1"/>
  <c r="O456" i="40"/>
  <c r="O625" i="40" s="1"/>
  <c r="N804" i="40"/>
  <c r="N973" i="40" s="1"/>
  <c r="P478" i="40"/>
  <c r="F478" i="40" s="1"/>
  <c r="O826" i="40"/>
  <c r="O995" i="40" s="1"/>
  <c r="F229" i="41"/>
  <c r="F215" i="41"/>
  <c r="O411" i="40"/>
  <c r="O580" i="40" s="1"/>
  <c r="N759" i="40"/>
  <c r="N928" i="40" s="1"/>
  <c r="P459" i="40"/>
  <c r="F459" i="40" s="1"/>
  <c r="O807" i="40"/>
  <c r="M889" i="40"/>
  <c r="P490" i="40"/>
  <c r="F490" i="40" s="1"/>
  <c r="O838" i="40"/>
  <c r="J193" i="37"/>
  <c r="P841" i="40"/>
  <c r="P1010" i="40" s="1"/>
  <c r="F662" i="40"/>
  <c r="P425" i="40"/>
  <c r="F425" i="40" s="1"/>
  <c r="O773" i="40"/>
  <c r="O374" i="40"/>
  <c r="O543" i="40" s="1"/>
  <c r="N722" i="40"/>
  <c r="P438" i="40"/>
  <c r="F438" i="40" s="1"/>
  <c r="O786" i="40"/>
  <c r="O955" i="40" s="1"/>
  <c r="N368" i="40"/>
  <c r="N537" i="40" s="1"/>
  <c r="M716" i="40"/>
  <c r="M885" i="40" s="1"/>
  <c r="P849" i="40"/>
  <c r="P1018" i="40" s="1"/>
  <c r="F670" i="40"/>
  <c r="H186" i="16"/>
  <c r="F15" i="22"/>
  <c r="F16" i="22" s="1"/>
  <c r="F32" i="22" s="1"/>
  <c r="P483" i="40"/>
  <c r="F483" i="40" s="1"/>
  <c r="O831" i="40"/>
  <c r="L915" i="40"/>
  <c r="M891" i="40"/>
  <c r="M993" i="40"/>
  <c r="P562" i="40"/>
  <c r="O932" i="40"/>
  <c r="N1015" i="40"/>
  <c r="P568" i="40"/>
  <c r="N995" i="40"/>
  <c r="M893" i="40"/>
  <c r="N878" i="40"/>
  <c r="P703" i="40"/>
  <c r="P872" i="40" s="1"/>
  <c r="F524" i="40"/>
  <c r="O1013" i="40"/>
  <c r="P843" i="40"/>
  <c r="P1012" i="40" s="1"/>
  <c r="F664" i="40"/>
  <c r="O205" i="37"/>
  <c r="M8" i="22"/>
  <c r="P600" i="40"/>
  <c r="P650" i="40"/>
  <c r="P606" i="40"/>
  <c r="O1032" i="40"/>
  <c r="F619" i="40"/>
  <c r="F554" i="40"/>
  <c r="F294" i="41"/>
  <c r="F203" i="41"/>
  <c r="P596" i="40"/>
  <c r="N923" i="40"/>
  <c r="I131" i="16"/>
  <c r="I132" i="16" s="1"/>
  <c r="I133" i="16" s="1"/>
  <c r="I169" i="16"/>
  <c r="I184" i="16" s="1"/>
  <c r="I185" i="16" s="1"/>
  <c r="P432" i="40"/>
  <c r="F432" i="40" s="1"/>
  <c r="O780" i="40"/>
  <c r="P725" i="40"/>
  <c r="P894" i="40" s="1"/>
  <c r="F546" i="40"/>
  <c r="P834" i="40"/>
  <c r="P1003" i="40" s="1"/>
  <c r="F655" i="40"/>
  <c r="N418" i="40"/>
  <c r="N587" i="40" s="1"/>
  <c r="M766" i="40"/>
  <c r="P749" i="40"/>
  <c r="P918" i="40" s="1"/>
  <c r="F570" i="40"/>
  <c r="P797" i="40"/>
  <c r="P966" i="40" s="1"/>
  <c r="F618" i="40"/>
  <c r="O414" i="40"/>
  <c r="O583" i="40" s="1"/>
  <c r="N762" i="40"/>
  <c r="N931" i="40" s="1"/>
  <c r="I125" i="16"/>
  <c r="I159" i="16"/>
  <c r="I178" i="16" s="1"/>
  <c r="N914" i="40"/>
  <c r="O937" i="40"/>
  <c r="P498" i="40"/>
  <c r="F498" i="40" s="1"/>
  <c r="O846" i="40"/>
  <c r="O1015" i="40" s="1"/>
  <c r="L895" i="40"/>
  <c r="H205" i="37"/>
  <c r="F8" i="22"/>
  <c r="P463" i="40"/>
  <c r="F463" i="40" s="1"/>
  <c r="O811" i="40"/>
  <c r="O980" i="40" s="1"/>
  <c r="J86" i="16"/>
  <c r="P361" i="40"/>
  <c r="F361" i="40" s="1"/>
  <c r="O709" i="40"/>
  <c r="O878" i="40" s="1"/>
  <c r="P470" i="40"/>
  <c r="F470" i="40" s="1"/>
  <c r="O818" i="40"/>
  <c r="O987" i="40" s="1"/>
  <c r="M1017" i="40"/>
  <c r="K87" i="16"/>
  <c r="K143" i="16" s="1"/>
  <c r="N380" i="40"/>
  <c r="N549" i="40" s="1"/>
  <c r="M728" i="40"/>
  <c r="M897" i="40" s="1"/>
  <c r="P857" i="40"/>
  <c r="P1026" i="40" s="1"/>
  <c r="F678" i="40"/>
  <c r="I124" i="16"/>
  <c r="I139" i="16"/>
  <c r="I177" i="16" s="1"/>
  <c r="N976" i="40"/>
  <c r="H180" i="16"/>
  <c r="P458" i="40"/>
  <c r="F458" i="40" s="1"/>
  <c r="O806" i="40"/>
  <c r="O405" i="40"/>
  <c r="O574" i="40" s="1"/>
  <c r="N753" i="40"/>
  <c r="N922" i="40" s="1"/>
  <c r="P508" i="40"/>
  <c r="F508" i="40" s="1"/>
  <c r="O856" i="40"/>
  <c r="O1025" i="40" s="1"/>
  <c r="P967" i="40"/>
  <c r="P387" i="40"/>
  <c r="F387" i="40" s="1"/>
  <c r="O735" i="40"/>
  <c r="O904" i="40" s="1"/>
  <c r="P902" i="40"/>
  <c r="F348" i="41"/>
  <c r="F196" i="41"/>
  <c r="P835" i="40"/>
  <c r="P1004" i="40" s="1"/>
  <c r="F656" i="40"/>
  <c r="P854" i="40"/>
  <c r="P1023" i="40" s="1"/>
  <c r="F675" i="40"/>
  <c r="P1009" i="40"/>
  <c r="L885" i="40"/>
  <c r="N907" i="40"/>
  <c r="N426" i="40"/>
  <c r="N595" i="40" s="1"/>
  <c r="M774" i="40"/>
  <c r="N917" i="40"/>
  <c r="P763" i="40"/>
  <c r="P932" i="40" s="1"/>
  <c r="F584" i="40"/>
  <c r="N970" i="40"/>
  <c r="P737" i="40"/>
  <c r="P906" i="40" s="1"/>
  <c r="F558" i="40"/>
  <c r="N979" i="40"/>
  <c r="N960" i="40"/>
  <c r="N968" i="40"/>
  <c r="M877" i="40"/>
  <c r="P421" i="40"/>
  <c r="F421" i="40" s="1"/>
  <c r="O769" i="40"/>
  <c r="P721" i="40"/>
  <c r="P890" i="40" s="1"/>
  <c r="F542" i="40"/>
  <c r="O940" i="40"/>
  <c r="O500" i="40"/>
  <c r="O669" i="40"/>
  <c r="N848" i="40"/>
  <c r="N1017" i="40" s="1"/>
  <c r="N920" i="40"/>
  <c r="L935" i="40"/>
  <c r="N938" i="40"/>
  <c r="O887" i="40"/>
  <c r="O503" i="40"/>
  <c r="O672" i="40" s="1"/>
  <c r="N851" i="40"/>
  <c r="O1029" i="40"/>
  <c r="P383" i="40"/>
  <c r="F383" i="40" s="1"/>
  <c r="O731" i="40"/>
  <c r="O900" i="40" s="1"/>
  <c r="O1024" i="40"/>
  <c r="F285" i="41"/>
  <c r="F271" i="41"/>
  <c r="P379" i="40"/>
  <c r="F379" i="40" s="1"/>
  <c r="O727" i="40"/>
  <c r="O896" i="40" s="1"/>
  <c r="P457" i="40"/>
  <c r="F457" i="40" s="1"/>
  <c r="O805" i="40"/>
  <c r="O974" i="40" s="1"/>
  <c r="O1022" i="40"/>
  <c r="P484" i="40"/>
  <c r="F484" i="40" s="1"/>
  <c r="O832" i="40"/>
  <c r="J184" i="16" l="1"/>
  <c r="J185" i="16" s="1"/>
  <c r="J186" i="16" s="1"/>
  <c r="F624" i="40"/>
  <c r="F588" i="40"/>
  <c r="P764" i="40"/>
  <c r="P933" i="40" s="1"/>
  <c r="F585" i="40"/>
  <c r="P552" i="40"/>
  <c r="P590" i="40"/>
  <c r="P769" i="40" s="1"/>
  <c r="P607" i="40"/>
  <c r="F607" i="40" s="1"/>
  <c r="F641" i="40"/>
  <c r="P534" i="40"/>
  <c r="P713" i="40" s="1"/>
  <c r="P610" i="40"/>
  <c r="F685" i="40"/>
  <c r="P677" i="40"/>
  <c r="P601" i="40"/>
  <c r="P639" i="40"/>
  <c r="P765" i="40"/>
  <c r="P934" i="40" s="1"/>
  <c r="F586" i="40"/>
  <c r="P627" i="40"/>
  <c r="P806" i="40" s="1"/>
  <c r="P975" i="40" s="1"/>
  <c r="P659" i="40"/>
  <c r="P838" i="40" s="1"/>
  <c r="P1007" i="40" s="1"/>
  <c r="P613" i="40"/>
  <c r="P643" i="40"/>
  <c r="J131" i="16"/>
  <c r="P603" i="40"/>
  <c r="P569" i="40"/>
  <c r="P748" i="40" s="1"/>
  <c r="P917" i="40" s="1"/>
  <c r="P550" i="40"/>
  <c r="F550" i="40" s="1"/>
  <c r="P532" i="40"/>
  <c r="F532" i="40" s="1"/>
  <c r="P577" i="40"/>
  <c r="P626" i="40"/>
  <c r="F626" i="40" s="1"/>
  <c r="P559" i="40"/>
  <c r="P597" i="40"/>
  <c r="P544" i="40"/>
  <c r="F544" i="40" s="1"/>
  <c r="P589" i="40"/>
  <c r="P768" i="40" s="1"/>
  <c r="P937" i="40" s="1"/>
  <c r="P653" i="40"/>
  <c r="P832" i="40" s="1"/>
  <c r="P1001" i="40" s="1"/>
  <c r="P631" i="40"/>
  <c r="P810" i="40" s="1"/>
  <c r="P979" i="40" s="1"/>
  <c r="P560" i="40"/>
  <c r="F560" i="40" s="1"/>
  <c r="P667" i="40"/>
  <c r="F667" i="40" s="1"/>
  <c r="P647" i="40"/>
  <c r="J132" i="16"/>
  <c r="J133" i="16" s="1"/>
  <c r="I126" i="16"/>
  <c r="I127" i="16" s="1"/>
  <c r="I179" i="16"/>
  <c r="I180" i="16" s="1"/>
  <c r="L89" i="16"/>
  <c r="L153" i="16" s="1"/>
  <c r="K92" i="16"/>
  <c r="K159" i="16" s="1"/>
  <c r="K178" i="16" s="1"/>
  <c r="P376" i="40"/>
  <c r="F376" i="40" s="1"/>
  <c r="O724" i="40"/>
  <c r="O893" i="40" s="1"/>
  <c r="P476" i="40"/>
  <c r="F476" i="40" s="1"/>
  <c r="P645" i="40"/>
  <c r="O824" i="40"/>
  <c r="O993" i="40" s="1"/>
  <c r="O372" i="40"/>
  <c r="O541" i="40" s="1"/>
  <c r="N720" i="40"/>
  <c r="N889" i="40" s="1"/>
  <c r="P374" i="40"/>
  <c r="F374" i="40" s="1"/>
  <c r="O722" i="40"/>
  <c r="O891" i="40" s="1"/>
  <c r="P504" i="40"/>
  <c r="F504" i="40" s="1"/>
  <c r="O852" i="40"/>
  <c r="O1021" i="40" s="1"/>
  <c r="O378" i="40"/>
  <c r="O547" i="40" s="1"/>
  <c r="N726" i="40"/>
  <c r="N895" i="40" s="1"/>
  <c r="P469" i="40"/>
  <c r="F469" i="40" s="1"/>
  <c r="O817" i="40"/>
  <c r="O986" i="40" s="1"/>
  <c r="P402" i="40"/>
  <c r="F402" i="40" s="1"/>
  <c r="O750" i="40"/>
  <c r="O919" i="40" s="1"/>
  <c r="P360" i="40"/>
  <c r="F360" i="40" s="1"/>
  <c r="O708" i="40"/>
  <c r="O877" i="40" s="1"/>
  <c r="O436" i="40"/>
  <c r="O605" i="40" s="1"/>
  <c r="N784" i="40"/>
  <c r="N953" i="40" s="1"/>
  <c r="P382" i="40"/>
  <c r="F382" i="40" s="1"/>
  <c r="O730" i="40"/>
  <c r="O899" i="40" s="1"/>
  <c r="P456" i="40"/>
  <c r="F456" i="40" s="1"/>
  <c r="O804" i="40"/>
  <c r="O973" i="40" s="1"/>
  <c r="P364" i="40"/>
  <c r="F364" i="40" s="1"/>
  <c r="O712" i="40"/>
  <c r="O881" i="40" s="1"/>
  <c r="P414" i="40"/>
  <c r="F414" i="40" s="1"/>
  <c r="O762" i="40"/>
  <c r="O931" i="40" s="1"/>
  <c r="P386" i="40"/>
  <c r="F386" i="40" s="1"/>
  <c r="O734" i="40"/>
  <c r="O903" i="40" s="1"/>
  <c r="O358" i="40"/>
  <c r="O527" i="40" s="1"/>
  <c r="N706" i="40"/>
  <c r="N875" i="40" s="1"/>
  <c r="N689" i="40"/>
  <c r="O418" i="40"/>
  <c r="O587" i="40" s="1"/>
  <c r="N766" i="40"/>
  <c r="P422" i="40"/>
  <c r="F422" i="40" s="1"/>
  <c r="O770" i="40"/>
  <c r="O939" i="40" s="1"/>
  <c r="P500" i="40"/>
  <c r="F500" i="40" s="1"/>
  <c r="O848" i="40"/>
  <c r="O1017" i="40" s="1"/>
  <c r="P548" i="40"/>
  <c r="P556" i="40"/>
  <c r="P632" i="40"/>
  <c r="P825" i="40"/>
  <c r="P994" i="40" s="1"/>
  <c r="F646" i="40"/>
  <c r="P787" i="40"/>
  <c r="P956" i="40" s="1"/>
  <c r="F608" i="40"/>
  <c r="P621" i="40"/>
  <c r="P598" i="40"/>
  <c r="O557" i="40"/>
  <c r="O388" i="40"/>
  <c r="N736" i="40"/>
  <c r="N905" i="40" s="1"/>
  <c r="P799" i="40"/>
  <c r="P968" i="40" s="1"/>
  <c r="F620" i="40"/>
  <c r="F627" i="40"/>
  <c r="I186" i="16"/>
  <c r="G15" i="22"/>
  <c r="G16" i="22" s="1"/>
  <c r="G32" i="22" s="1"/>
  <c r="G34" i="22" s="1"/>
  <c r="O380" i="40"/>
  <c r="O549" i="40" s="1"/>
  <c r="N728" i="40"/>
  <c r="N897" i="40" s="1"/>
  <c r="K95" i="16"/>
  <c r="K173" i="16" s="1"/>
  <c r="P652" i="40"/>
  <c r="O368" i="40"/>
  <c r="O537" i="40" s="1"/>
  <c r="N716" i="40"/>
  <c r="N885" i="40" s="1"/>
  <c r="O1000" i="40"/>
  <c r="M879" i="40"/>
  <c r="P563" i="40"/>
  <c r="P828" i="40"/>
  <c r="P997" i="40" s="1"/>
  <c r="F649" i="40"/>
  <c r="P538" i="40"/>
  <c r="P702" i="40"/>
  <c r="P871" i="40" s="1"/>
  <c r="F523" i="40"/>
  <c r="P604" i="40"/>
  <c r="F189" i="41"/>
  <c r="P676" i="40"/>
  <c r="P467" i="40"/>
  <c r="F467" i="40" s="1"/>
  <c r="O815" i="40"/>
  <c r="O984" i="40" s="1"/>
  <c r="P789" i="40"/>
  <c r="P958" i="40" s="1"/>
  <c r="F610" i="40"/>
  <c r="P739" i="40"/>
  <c r="P908" i="40" s="1"/>
  <c r="N903" i="40"/>
  <c r="K86" i="16"/>
  <c r="P530" i="40"/>
  <c r="F10" i="22"/>
  <c r="F11" i="22" s="1"/>
  <c r="F38" i="22" s="1"/>
  <c r="P785" i="40"/>
  <c r="P954" i="40" s="1"/>
  <c r="F606" i="40"/>
  <c r="F34" i="22"/>
  <c r="P594" i="40"/>
  <c r="P628" i="40"/>
  <c r="O975" i="40"/>
  <c r="O949" i="40"/>
  <c r="O911" i="40"/>
  <c r="J194" i="37"/>
  <c r="J202" i="37" s="1"/>
  <c r="J204" i="37" s="1"/>
  <c r="P794" i="40"/>
  <c r="P963" i="40" s="1"/>
  <c r="F615" i="40"/>
  <c r="O886" i="40"/>
  <c r="P611" i="40"/>
  <c r="P658" i="40"/>
  <c r="P616" i="40"/>
  <c r="P622" i="40"/>
  <c r="P853" i="40"/>
  <c r="P1022" i="40" s="1"/>
  <c r="F674" i="40"/>
  <c r="P681" i="40"/>
  <c r="O426" i="40"/>
  <c r="O595" i="40" s="1"/>
  <c r="N774" i="40"/>
  <c r="N943" i="40" s="1"/>
  <c r="P856" i="40"/>
  <c r="P1025" i="40" s="1"/>
  <c r="F677" i="40"/>
  <c r="N1020" i="40"/>
  <c r="P829" i="40"/>
  <c r="P998" i="40" s="1"/>
  <c r="F650" i="40"/>
  <c r="P741" i="40"/>
  <c r="P910" i="40" s="1"/>
  <c r="F562" i="40"/>
  <c r="P786" i="40"/>
  <c r="P955" i="40" s="1"/>
  <c r="O880" i="40"/>
  <c r="P792" i="40"/>
  <c r="P961" i="40" s="1"/>
  <c r="F613" i="40"/>
  <c r="O362" i="40"/>
  <c r="O531" i="40" s="1"/>
  <c r="N710" i="40"/>
  <c r="P782" i="40"/>
  <c r="P951" i="40" s="1"/>
  <c r="F603" i="40"/>
  <c r="P822" i="40"/>
  <c r="P991" i="40" s="1"/>
  <c r="F643" i="40"/>
  <c r="J125" i="16"/>
  <c r="J159" i="16"/>
  <c r="J178" i="16" s="1"/>
  <c r="P406" i="40"/>
  <c r="F406" i="40" s="1"/>
  <c r="O754" i="40"/>
  <c r="P776" i="40"/>
  <c r="P945" i="40" s="1"/>
  <c r="F597" i="40"/>
  <c r="P466" i="40"/>
  <c r="F466" i="40" s="1"/>
  <c r="O814" i="40"/>
  <c r="O983" i="40" s="1"/>
  <c r="F631" i="40"/>
  <c r="O398" i="40"/>
  <c r="O567" i="40" s="1"/>
  <c r="N746" i="40"/>
  <c r="N915" i="40" s="1"/>
  <c r="P731" i="40"/>
  <c r="P900" i="40" s="1"/>
  <c r="F552" i="40"/>
  <c r="P503" i="40"/>
  <c r="F503" i="40" s="1"/>
  <c r="O851" i="40"/>
  <c r="O1020" i="40" s="1"/>
  <c r="P938" i="40"/>
  <c r="P818" i="40"/>
  <c r="P987" i="40" s="1"/>
  <c r="F639" i="40"/>
  <c r="O938" i="40"/>
  <c r="P779" i="40"/>
  <c r="P948" i="40" s="1"/>
  <c r="F600" i="40"/>
  <c r="P411" i="40"/>
  <c r="F411" i="40" s="1"/>
  <c r="O759" i="40"/>
  <c r="O928" i="40" s="1"/>
  <c r="K94" i="16"/>
  <c r="P738" i="40"/>
  <c r="P907" i="40" s="1"/>
  <c r="F559" i="40"/>
  <c r="P778" i="40"/>
  <c r="P947" i="40" s="1"/>
  <c r="F599" i="40"/>
  <c r="O871" i="40"/>
  <c r="L93" i="16"/>
  <c r="L163" i="16" s="1"/>
  <c r="I199" i="37"/>
  <c r="I203" i="37" s="1"/>
  <c r="I204" i="37" s="1"/>
  <c r="P836" i="40"/>
  <c r="P1005" i="40" s="1"/>
  <c r="F657" i="40"/>
  <c r="P772" i="40"/>
  <c r="P941" i="40" s="1"/>
  <c r="F593" i="40"/>
  <c r="P802" i="40"/>
  <c r="P971" i="40" s="1"/>
  <c r="F623" i="40"/>
  <c r="P666" i="40"/>
  <c r="P612" i="40"/>
  <c r="P539" i="40"/>
  <c r="P572" i="40"/>
  <c r="P609" i="40"/>
  <c r="P614" i="40"/>
  <c r="F534" i="40"/>
  <c r="P756" i="40"/>
  <c r="P925" i="40" s="1"/>
  <c r="F577" i="40"/>
  <c r="O392" i="40"/>
  <c r="O561" i="40" s="1"/>
  <c r="N740" i="40"/>
  <c r="N909" i="40" s="1"/>
  <c r="J124" i="16"/>
  <c r="J139" i="16"/>
  <c r="J177" i="16" s="1"/>
  <c r="P747" i="40"/>
  <c r="P916" i="40" s="1"/>
  <c r="F568" i="40"/>
  <c r="M943" i="40"/>
  <c r="F659" i="40"/>
  <c r="P826" i="40"/>
  <c r="P995" i="40" s="1"/>
  <c r="F647" i="40"/>
  <c r="O1007" i="40"/>
  <c r="P629" i="40"/>
  <c r="L88" i="16"/>
  <c r="M935" i="40"/>
  <c r="M87" i="16" s="1"/>
  <c r="M143" i="16" s="1"/>
  <c r="P651" i="40"/>
  <c r="P637" i="40"/>
  <c r="P566" i="40"/>
  <c r="P592" i="40"/>
  <c r="P684" i="40"/>
  <c r="P617" i="40"/>
  <c r="P882" i="40"/>
  <c r="P780" i="40"/>
  <c r="P949" i="40" s="1"/>
  <c r="F601" i="40"/>
  <c r="P410" i="40"/>
  <c r="F410" i="40" s="1"/>
  <c r="O758" i="40"/>
  <c r="O927" i="40" s="1"/>
  <c r="O1001" i="40"/>
  <c r="P405" i="40"/>
  <c r="F405" i="40" s="1"/>
  <c r="P574" i="40"/>
  <c r="P753" i="40" s="1"/>
  <c r="O753" i="40"/>
  <c r="P846" i="40"/>
  <c r="P1015" i="40" s="1"/>
  <c r="P775" i="40"/>
  <c r="P944" i="40" s="1"/>
  <c r="F596" i="40"/>
  <c r="O979" i="40"/>
  <c r="O976" i="40"/>
  <c r="P755" i="40"/>
  <c r="P924" i="40" s="1"/>
  <c r="F576" i="40"/>
  <c r="P842" i="40"/>
  <c r="P1011" i="40" s="1"/>
  <c r="F663" i="40"/>
  <c r="K130" i="16"/>
  <c r="K149" i="16"/>
  <c r="K183" i="16" s="1"/>
  <c r="O942" i="40"/>
  <c r="N891" i="40"/>
  <c r="L87" i="16"/>
  <c r="L143" i="16" s="1"/>
  <c r="P371" i="40"/>
  <c r="F371" i="40" s="1"/>
  <c r="O719" i="40"/>
  <c r="O888" i="40" s="1"/>
  <c r="O384" i="40"/>
  <c r="O553" i="40" s="1"/>
  <c r="N732" i="40"/>
  <c r="N901" i="40" s="1"/>
  <c r="P729" i="40" l="1"/>
  <c r="P898" i="40" s="1"/>
  <c r="P723" i="40"/>
  <c r="P892" i="40" s="1"/>
  <c r="P805" i="40"/>
  <c r="P974" i="40" s="1"/>
  <c r="F590" i="40"/>
  <c r="P672" i="40"/>
  <c r="P636" i="40"/>
  <c r="F636" i="40" s="1"/>
  <c r="F569" i="40"/>
  <c r="P543" i="40"/>
  <c r="P722" i="40" s="1"/>
  <c r="P891" i="40" s="1"/>
  <c r="P545" i="40"/>
  <c r="F589" i="40"/>
  <c r="H15" i="22"/>
  <c r="H16" i="22" s="1"/>
  <c r="H32" i="22" s="1"/>
  <c r="H34" i="22" s="1"/>
  <c r="P711" i="40"/>
  <c r="P880" i="40" s="1"/>
  <c r="P579" i="40"/>
  <c r="P758" i="40" s="1"/>
  <c r="P927" i="40" s="1"/>
  <c r="P638" i="40"/>
  <c r="P529" i="40"/>
  <c r="P555" i="40"/>
  <c r="F555" i="40" s="1"/>
  <c r="P625" i="40"/>
  <c r="P673" i="40"/>
  <c r="P852" i="40" s="1"/>
  <c r="P1021" i="40" s="1"/>
  <c r="F653" i="40"/>
  <c r="P583" i="40"/>
  <c r="P762" i="40" s="1"/>
  <c r="P931" i="40" s="1"/>
  <c r="P551" i="40"/>
  <c r="F551" i="40" s="1"/>
  <c r="P580" i="40"/>
  <c r="F580" i="40" s="1"/>
  <c r="P635" i="40"/>
  <c r="P591" i="40"/>
  <c r="P770" i="40" s="1"/>
  <c r="P939" i="40" s="1"/>
  <c r="J126" i="16"/>
  <c r="J127" i="16" s="1"/>
  <c r="G9" i="22"/>
  <c r="P922" i="40"/>
  <c r="J179" i="16"/>
  <c r="J180" i="16" s="1"/>
  <c r="K125" i="16"/>
  <c r="L92" i="16"/>
  <c r="L159" i="16" s="1"/>
  <c r="L178" i="16" s="1"/>
  <c r="L95" i="16"/>
  <c r="L173" i="16" s="1"/>
  <c r="P380" i="40"/>
  <c r="F380" i="40" s="1"/>
  <c r="O728" i="40"/>
  <c r="O897" i="40" s="1"/>
  <c r="P378" i="40"/>
  <c r="F378" i="40" s="1"/>
  <c r="O726" i="40"/>
  <c r="O895" i="40" s="1"/>
  <c r="P372" i="40"/>
  <c r="F372" i="40" s="1"/>
  <c r="O720" i="40"/>
  <c r="O889" i="40" s="1"/>
  <c r="P384" i="40"/>
  <c r="F384" i="40" s="1"/>
  <c r="O732" i="40"/>
  <c r="O901" i="40" s="1"/>
  <c r="P368" i="40"/>
  <c r="F368" i="40" s="1"/>
  <c r="O716" i="40"/>
  <c r="O885" i="40" s="1"/>
  <c r="P436" i="40"/>
  <c r="F436" i="40" s="1"/>
  <c r="O784" i="40"/>
  <c r="O953" i="40" s="1"/>
  <c r="P398" i="40"/>
  <c r="F398" i="40" s="1"/>
  <c r="O746" i="40"/>
  <c r="P426" i="40"/>
  <c r="F426" i="40" s="1"/>
  <c r="O774" i="40"/>
  <c r="O943" i="40" s="1"/>
  <c r="P796" i="40"/>
  <c r="P965" i="40" s="1"/>
  <c r="F617" i="40"/>
  <c r="P575" i="40"/>
  <c r="P717" i="40"/>
  <c r="P886" i="40" s="1"/>
  <c r="F538" i="40"/>
  <c r="P800" i="40"/>
  <c r="P969" i="40" s="1"/>
  <c r="F621" i="40"/>
  <c r="P418" i="40"/>
  <c r="F418" i="40" s="1"/>
  <c r="P587" i="40"/>
  <c r="O766" i="40"/>
  <c r="P571" i="40"/>
  <c r="P392" i="40"/>
  <c r="F392" i="40" s="1"/>
  <c r="O740" i="40"/>
  <c r="O909" i="40" s="1"/>
  <c r="P851" i="40"/>
  <c r="P1020" i="40" s="1"/>
  <c r="F672" i="40"/>
  <c r="P788" i="40"/>
  <c r="P957" i="40" s="1"/>
  <c r="F609" i="40"/>
  <c r="P388" i="40"/>
  <c r="F388" i="40" s="1"/>
  <c r="O736" i="40"/>
  <c r="P557" i="40"/>
  <c r="M89" i="16"/>
  <c r="M153" i="16" s="1"/>
  <c r="P830" i="40"/>
  <c r="P999" i="40" s="1"/>
  <c r="F651" i="40"/>
  <c r="L130" i="16"/>
  <c r="L149" i="16"/>
  <c r="L183" i="16" s="1"/>
  <c r="N935" i="40"/>
  <c r="P863" i="40"/>
  <c r="P1032" i="40" s="1"/>
  <c r="F684" i="40"/>
  <c r="P845" i="40"/>
  <c r="P1014" i="40" s="1"/>
  <c r="F666" i="40"/>
  <c r="I205" i="37"/>
  <c r="G8" i="22"/>
  <c r="P801" i="40"/>
  <c r="P970" i="40" s="1"/>
  <c r="F622" i="40"/>
  <c r="P807" i="40"/>
  <c r="P976" i="40" s="1"/>
  <c r="F628" i="40"/>
  <c r="F40" i="22"/>
  <c r="F42" i="22" s="1"/>
  <c r="P811" i="40"/>
  <c r="P980" i="40" s="1"/>
  <c r="F632" i="40"/>
  <c r="P804" i="40"/>
  <c r="P973" i="40" s="1"/>
  <c r="F625" i="40"/>
  <c r="P708" i="40"/>
  <c r="P877" i="40" s="1"/>
  <c r="F529" i="40"/>
  <c r="P824" i="40"/>
  <c r="P993" i="40" s="1"/>
  <c r="F645" i="40"/>
  <c r="P771" i="40"/>
  <c r="P940" i="40" s="1"/>
  <c r="F592" i="40"/>
  <c r="P751" i="40"/>
  <c r="P920" i="40" s="1"/>
  <c r="F572" i="40"/>
  <c r="K131" i="16"/>
  <c r="K132" i="16" s="1"/>
  <c r="K133" i="16" s="1"/>
  <c r="K169" i="16"/>
  <c r="K184" i="16" s="1"/>
  <c r="K185" i="16" s="1"/>
  <c r="P795" i="40"/>
  <c r="P964" i="40" s="1"/>
  <c r="F616" i="40"/>
  <c r="J205" i="37"/>
  <c r="H8" i="22"/>
  <c r="P773" i="40"/>
  <c r="P942" i="40" s="1"/>
  <c r="F594" i="40"/>
  <c r="P709" i="40"/>
  <c r="P878" i="40" s="1"/>
  <c r="F530" i="40"/>
  <c r="P815" i="40"/>
  <c r="P984" i="40" s="1"/>
  <c r="P742" i="40"/>
  <c r="P911" i="40" s="1"/>
  <c r="F563" i="40"/>
  <c r="P735" i="40"/>
  <c r="P904" i="40" s="1"/>
  <c r="F556" i="40"/>
  <c r="N879" i="40"/>
  <c r="P817" i="40"/>
  <c r="P986" i="40" s="1"/>
  <c r="F638" i="40"/>
  <c r="P540" i="40"/>
  <c r="P745" i="40"/>
  <c r="P914" i="40" s="1"/>
  <c r="F566" i="40"/>
  <c r="P808" i="40"/>
  <c r="P977" i="40" s="1"/>
  <c r="F629" i="40"/>
  <c r="P718" i="40"/>
  <c r="P887" i="40" s="1"/>
  <c r="F539" i="40"/>
  <c r="P783" i="40"/>
  <c r="P952" i="40" s="1"/>
  <c r="F604" i="40"/>
  <c r="M88" i="16"/>
  <c r="L94" i="16"/>
  <c r="P727" i="40"/>
  <c r="P896" i="40" s="1"/>
  <c r="F548" i="40"/>
  <c r="P814" i="40"/>
  <c r="P983" i="40" s="1"/>
  <c r="F635" i="40"/>
  <c r="O923" i="40"/>
  <c r="P759" i="40"/>
  <c r="P928" i="40" s="1"/>
  <c r="L86" i="16"/>
  <c r="P860" i="40"/>
  <c r="P1029" i="40" s="1"/>
  <c r="F681" i="40"/>
  <c r="P837" i="40"/>
  <c r="P1006" i="40" s="1"/>
  <c r="F658" i="40"/>
  <c r="K124" i="16"/>
  <c r="K126" i="16" s="1"/>
  <c r="K127" i="16" s="1"/>
  <c r="K139" i="16"/>
  <c r="K177" i="16" s="1"/>
  <c r="K179" i="16" s="1"/>
  <c r="M93" i="16"/>
  <c r="M163" i="16" s="1"/>
  <c r="P831" i="40"/>
  <c r="P1000" i="40" s="1"/>
  <c r="F652" i="40"/>
  <c r="P358" i="40"/>
  <c r="F358" i="40" s="1"/>
  <c r="O706" i="40"/>
  <c r="O875" i="40" s="1"/>
  <c r="O689" i="40"/>
  <c r="P730" i="40"/>
  <c r="P899" i="40" s="1"/>
  <c r="P724" i="40"/>
  <c r="P893" i="40" s="1"/>
  <c r="F545" i="40"/>
  <c r="O922" i="40"/>
  <c r="P791" i="40"/>
  <c r="P960" i="40" s="1"/>
  <c r="F612" i="40"/>
  <c r="P362" i="40"/>
  <c r="F362" i="40" s="1"/>
  <c r="O710" i="40"/>
  <c r="O879" i="40" s="1"/>
  <c r="P531" i="40"/>
  <c r="F574" i="40"/>
  <c r="P816" i="40"/>
  <c r="P985" i="40" s="1"/>
  <c r="F637" i="40"/>
  <c r="P793" i="40"/>
  <c r="P962" i="40" s="1"/>
  <c r="F614" i="40"/>
  <c r="O915" i="40"/>
  <c r="P790" i="40"/>
  <c r="P959" i="40" s="1"/>
  <c r="F611" i="40"/>
  <c r="P855" i="40"/>
  <c r="P1024" i="40" s="1"/>
  <c r="F676" i="40"/>
  <c r="P777" i="40"/>
  <c r="P946" i="40" s="1"/>
  <c r="F598" i="40"/>
  <c r="P669" i="40"/>
  <c r="P533" i="40"/>
  <c r="F591" i="40" l="1"/>
  <c r="F543" i="40"/>
  <c r="P734" i="40"/>
  <c r="P903" i="40" s="1"/>
  <c r="P553" i="40"/>
  <c r="P549" i="40"/>
  <c r="L125" i="16"/>
  <c r="F673" i="40"/>
  <c r="P527" i="40"/>
  <c r="F527" i="40" s="1"/>
  <c r="F579" i="40"/>
  <c r="P541" i="40"/>
  <c r="P720" i="40" s="1"/>
  <c r="P889" i="40" s="1"/>
  <c r="F583" i="40"/>
  <c r="H9" i="22"/>
  <c r="G10" i="22"/>
  <c r="G11" i="22" s="1"/>
  <c r="G38" i="22" s="1"/>
  <c r="G40" i="22" s="1"/>
  <c r="G42" i="22" s="1"/>
  <c r="P537" i="40"/>
  <c r="P716" i="40" s="1"/>
  <c r="P885" i="40" s="1"/>
  <c r="P561" i="40"/>
  <c r="P740" i="40" s="1"/>
  <c r="P909" i="40" s="1"/>
  <c r="P605" i="40"/>
  <c r="F605" i="40" s="1"/>
  <c r="N93" i="16"/>
  <c r="N163" i="16" s="1"/>
  <c r="M94" i="16"/>
  <c r="M169" i="16" s="1"/>
  <c r="N89" i="16"/>
  <c r="N153" i="16" s="1"/>
  <c r="H10" i="22"/>
  <c r="H11" i="22" s="1"/>
  <c r="H38" i="22" s="1"/>
  <c r="H40" i="22" s="1"/>
  <c r="H42" i="22" s="1"/>
  <c r="K186" i="16"/>
  <c r="I15" i="22"/>
  <c r="I16" i="22" s="1"/>
  <c r="I32" i="22" s="1"/>
  <c r="P719" i="40"/>
  <c r="P888" i="40" s="1"/>
  <c r="F540" i="40"/>
  <c r="F541" i="40"/>
  <c r="M92" i="16"/>
  <c r="P766" i="40"/>
  <c r="P935" i="40" s="1"/>
  <c r="F587" i="40"/>
  <c r="P848" i="40"/>
  <c r="P1017" i="40" s="1"/>
  <c r="F669" i="40"/>
  <c r="N88" i="16"/>
  <c r="P784" i="40"/>
  <c r="P953" i="40" s="1"/>
  <c r="P547" i="40"/>
  <c r="P710" i="40"/>
  <c r="P879" i="40" s="1"/>
  <c r="F531" i="40"/>
  <c r="L131" i="16"/>
  <c r="L132" i="16" s="1"/>
  <c r="L133" i="16" s="1"/>
  <c r="L169" i="16"/>
  <c r="L184" i="16" s="1"/>
  <c r="L185" i="16" s="1"/>
  <c r="M86" i="16"/>
  <c r="P595" i="40"/>
  <c r="P732" i="40"/>
  <c r="P901" i="40" s="1"/>
  <c r="F553" i="40"/>
  <c r="P712" i="40"/>
  <c r="P881" i="40" s="1"/>
  <c r="F533" i="40"/>
  <c r="F537" i="40"/>
  <c r="M95" i="16"/>
  <c r="M173" i="16" s="1"/>
  <c r="L124" i="16"/>
  <c r="L126" i="16" s="1"/>
  <c r="L127" i="16" s="1"/>
  <c r="L139" i="16"/>
  <c r="L177" i="16" s="1"/>
  <c r="L179" i="16" s="1"/>
  <c r="N87" i="16"/>
  <c r="N143" i="16" s="1"/>
  <c r="O935" i="40"/>
  <c r="P567" i="40"/>
  <c r="P728" i="40"/>
  <c r="P897" i="40" s="1"/>
  <c r="F549" i="40"/>
  <c r="M149" i="16"/>
  <c r="M183" i="16" s="1"/>
  <c r="M130" i="16"/>
  <c r="O905" i="40"/>
  <c r="P706" i="40"/>
  <c r="P875" i="40" s="1"/>
  <c r="K180" i="16"/>
  <c r="I9" i="22"/>
  <c r="I10" i="22" s="1"/>
  <c r="I11" i="22" s="1"/>
  <c r="I38" i="22" s="1"/>
  <c r="P736" i="40"/>
  <c r="P905" i="40" s="1"/>
  <c r="F557" i="40"/>
  <c r="P750" i="40"/>
  <c r="P919" i="40" s="1"/>
  <c r="F571" i="40"/>
  <c r="P754" i="40"/>
  <c r="P923" i="40" s="1"/>
  <c r="F575" i="40"/>
  <c r="F561" i="40" l="1"/>
  <c r="O89" i="16"/>
  <c r="O153" i="16" s="1"/>
  <c r="O93" i="16"/>
  <c r="O163" i="16" s="1"/>
  <c r="N86" i="16"/>
  <c r="N95" i="16"/>
  <c r="N173" i="16" s="1"/>
  <c r="L180" i="16"/>
  <c r="J9" i="22"/>
  <c r="J10" i="22" s="1"/>
  <c r="J11" i="22" s="1"/>
  <c r="J38" i="22" s="1"/>
  <c r="J40" i="22" s="1"/>
  <c r="N92" i="16"/>
  <c r="M124" i="16"/>
  <c r="M139" i="16"/>
  <c r="M177" i="16" s="1"/>
  <c r="I40" i="22"/>
  <c r="L186" i="16"/>
  <c r="J15" i="22"/>
  <c r="J16" i="22" s="1"/>
  <c r="J32" i="22" s="1"/>
  <c r="J34" i="22" s="1"/>
  <c r="O87" i="16"/>
  <c r="O143" i="16" s="1"/>
  <c r="M131" i="16"/>
  <c r="M132" i="16" s="1"/>
  <c r="M133" i="16" s="1"/>
  <c r="P774" i="40"/>
  <c r="P943" i="40" s="1"/>
  <c r="F595" i="40"/>
  <c r="O88" i="16"/>
  <c r="M184" i="16"/>
  <c r="M185" i="16" s="1"/>
  <c r="N130" i="16"/>
  <c r="N149" i="16"/>
  <c r="N183" i="16" s="1"/>
  <c r="N94" i="16"/>
  <c r="I34" i="22"/>
  <c r="P689" i="40"/>
  <c r="F689" i="40" s="1"/>
  <c r="P746" i="40"/>
  <c r="P915" i="40" s="1"/>
  <c r="F567" i="40"/>
  <c r="P726" i="40"/>
  <c r="P895" i="40" s="1"/>
  <c r="F547" i="40"/>
  <c r="M159" i="16"/>
  <c r="M178" i="16" s="1"/>
  <c r="M125" i="16"/>
  <c r="I42" i="22" l="1"/>
  <c r="O86" i="16"/>
  <c r="O124" i="16" s="1"/>
  <c r="K15" i="22"/>
  <c r="K16" i="22" s="1"/>
  <c r="K32" i="22" s="1"/>
  <c r="M186" i="16"/>
  <c r="N131" i="16"/>
  <c r="N132" i="16" s="1"/>
  <c r="N133" i="16" s="1"/>
  <c r="N169" i="16"/>
  <c r="N184" i="16" s="1"/>
  <c r="N185" i="16" s="1"/>
  <c r="J42" i="22"/>
  <c r="O130" i="16"/>
  <c r="O149" i="16"/>
  <c r="O183" i="16" s="1"/>
  <c r="N124" i="16"/>
  <c r="N139" i="16"/>
  <c r="N177" i="16" s="1"/>
  <c r="M179" i="16"/>
  <c r="O94" i="16"/>
  <c r="M126" i="16"/>
  <c r="M127" i="16" s="1"/>
  <c r="O92" i="16"/>
  <c r="N125" i="16"/>
  <c r="N159" i="16"/>
  <c r="N178" i="16" s="1"/>
  <c r="O95" i="16"/>
  <c r="O173" i="16" s="1"/>
  <c r="N179" i="16" l="1"/>
  <c r="N180" i="16" s="1"/>
  <c r="N126" i="16"/>
  <c r="N127" i="16" s="1"/>
  <c r="O139" i="16"/>
  <c r="O177" i="16" s="1"/>
  <c r="M180" i="16"/>
  <c r="K9" i="22"/>
  <c r="K10" i="22" s="1"/>
  <c r="K11" i="22" s="1"/>
  <c r="K38" i="22" s="1"/>
  <c r="K34" i="22"/>
  <c r="O131" i="16"/>
  <c r="O132" i="16" s="1"/>
  <c r="O133" i="16" s="1"/>
  <c r="O169" i="16"/>
  <c r="O184" i="16" s="1"/>
  <c r="O185" i="16" s="1"/>
  <c r="N186" i="16"/>
  <c r="L15" i="22"/>
  <c r="L16" i="22" s="1"/>
  <c r="L32" i="22" s="1"/>
  <c r="L34" i="22" s="1"/>
  <c r="O125" i="16"/>
  <c r="O126" i="16" s="1"/>
  <c r="O127" i="16" s="1"/>
  <c r="O159" i="16"/>
  <c r="O178" i="16" s="1"/>
  <c r="O179" i="16" l="1"/>
  <c r="O180" i="16" s="1"/>
  <c r="L9" i="22"/>
  <c r="L10" i="22" s="1"/>
  <c r="L11" i="22" s="1"/>
  <c r="L38" i="22" s="1"/>
  <c r="L40" i="22" s="1"/>
  <c r="L42" i="22" s="1"/>
  <c r="O186" i="16"/>
  <c r="M15" i="22"/>
  <c r="M16" i="22" s="1"/>
  <c r="M32" i="22" s="1"/>
  <c r="K40" i="22"/>
  <c r="K42" i="22" s="1"/>
  <c r="M9" i="22" l="1"/>
  <c r="M10" i="22" s="1"/>
  <c r="M11" i="22" s="1"/>
  <c r="M38" i="22" s="1"/>
  <c r="M34" i="22"/>
  <c r="O32" i="22"/>
  <c r="O34" i="22" s="1"/>
  <c r="M40" i="22" l="1"/>
  <c r="M42" i="22" s="1"/>
  <c r="O38" i="22"/>
  <c r="O40" i="22" s="1"/>
  <c r="O42" i="2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<sst xmlns="http://schemas.openxmlformats.org/spreadsheetml/2006/main" count="6319" uniqueCount="593">
  <si>
    <t>Total</t>
  </si>
  <si>
    <t xml:space="preserve">Unidades </t>
  </si>
  <si>
    <t>Fuente</t>
  </si>
  <si>
    <t>Supuesto</t>
  </si>
  <si>
    <t>Recursos</t>
  </si>
  <si>
    <t>Mil</t>
  </si>
  <si>
    <t>Diferente de cero</t>
  </si>
  <si>
    <t>Index</t>
  </si>
  <si>
    <t>AC</t>
  </si>
  <si>
    <t>&lt;&gt;0</t>
  </si>
  <si>
    <t>Servicios Estándar</t>
  </si>
  <si>
    <t>Uso de amarradero (inc. Amarre/desamarre)</t>
  </si>
  <si>
    <t>Embarque/descarga contenedor 20 (lleno)</t>
  </si>
  <si>
    <t>Embarque/descarga contenedor 40 (lleno)</t>
  </si>
  <si>
    <t>Embarque/descarga contenedor 20 (vacío)</t>
  </si>
  <si>
    <t>Embarque/descarga contenedor 40 (vacío)</t>
  </si>
  <si>
    <t>APMT</t>
  </si>
  <si>
    <t>US$</t>
  </si>
  <si>
    <t>Almacenamiento Contenedores</t>
  </si>
  <si>
    <t>Almacenamiento carga fraccionada</t>
  </si>
  <si>
    <t>Almacenamiento carga rodante</t>
  </si>
  <si>
    <t>Almacenamiento granel sólido</t>
  </si>
  <si>
    <t>Provisión grúa móvil incrementar productividad</t>
  </si>
  <si>
    <t>Tratamiento especial carga fraccionada peligrosa</t>
  </si>
  <si>
    <t>Carga de proyecto</t>
  </si>
  <si>
    <t xml:space="preserve">Consolida/desconsolid contenedores </t>
  </si>
  <si>
    <t>Servicios a contenedores reefer</t>
  </si>
  <si>
    <t>Suministro de agua</t>
  </si>
  <si>
    <t>Uso de barreras de contención</t>
  </si>
  <si>
    <t>Otros servicios</t>
  </si>
  <si>
    <t>Unidad</t>
  </si>
  <si>
    <t>TEU</t>
  </si>
  <si>
    <t>Varios</t>
  </si>
  <si>
    <t>Jornadas</t>
  </si>
  <si>
    <t>Cantidades de mano de obra</t>
  </si>
  <si>
    <t>Funcionarios</t>
  </si>
  <si>
    <t>miles de horas</t>
  </si>
  <si>
    <t>Empleados</t>
  </si>
  <si>
    <t>Estibadores</t>
  </si>
  <si>
    <t>%</t>
  </si>
  <si>
    <t>n/a</t>
  </si>
  <si>
    <t>Calc.</t>
  </si>
  <si>
    <t>Gastos laborales</t>
  </si>
  <si>
    <t>Gastos materiales</t>
  </si>
  <si>
    <t>Servicios prestados por terceros</t>
  </si>
  <si>
    <t>Seguridad y limpieza</t>
  </si>
  <si>
    <t>Servicios básicos</t>
  </si>
  <si>
    <t>Mantenimiento y reparaciones</t>
  </si>
  <si>
    <t>Combustible</t>
  </si>
  <si>
    <t>Suministros</t>
  </si>
  <si>
    <t>Seguros</t>
  </si>
  <si>
    <t>Otros</t>
  </si>
  <si>
    <t>Cantidades de producto</t>
  </si>
  <si>
    <t>TEU miles</t>
  </si>
  <si>
    <t>Varios miles</t>
  </si>
  <si>
    <t xml:space="preserve">Ingresos </t>
  </si>
  <si>
    <t>miles US$</t>
  </si>
  <si>
    <t>Materiales</t>
  </si>
  <si>
    <t>Factor X</t>
  </si>
  <si>
    <t>Gastos laborales agregados</t>
  </si>
  <si>
    <t xml:space="preserve">Empleados </t>
  </si>
  <si>
    <t>Muebles y enseres</t>
  </si>
  <si>
    <t>Equipos diversos</t>
  </si>
  <si>
    <t>Equipos de cómputo</t>
  </si>
  <si>
    <t>Equipamiento</t>
  </si>
  <si>
    <t>Transversales</t>
  </si>
  <si>
    <t>Unidades</t>
  </si>
  <si>
    <t>Estructura de capital</t>
  </si>
  <si>
    <t>E/(D+E)</t>
  </si>
  <si>
    <t>D/(D+E)</t>
  </si>
  <si>
    <t xml:space="preserve">Costo de  deuda </t>
  </si>
  <si>
    <t>WACC</t>
  </si>
  <si>
    <t>LOW</t>
  </si>
  <si>
    <t>HIGH</t>
  </si>
  <si>
    <t>POINT ESTMATE</t>
  </si>
  <si>
    <t>Percentile</t>
  </si>
  <si>
    <t>Promedio</t>
  </si>
  <si>
    <t>Índice</t>
  </si>
  <si>
    <t>BCR</t>
  </si>
  <si>
    <t>INEI</t>
  </si>
  <si>
    <t>EMBIG Perú (pbs)</t>
  </si>
  <si>
    <t>Lima 
(S/., 2011)</t>
  </si>
  <si>
    <t>Lima 
(US$, 2011)</t>
  </si>
  <si>
    <t>Maquinaria y equipo (US$, 2011)</t>
  </si>
  <si>
    <t>Materiales construcción  (US$, 2011)</t>
  </si>
  <si>
    <t>IPM Peru 
(US$, 2011)</t>
  </si>
  <si>
    <t>Nacional (2011=100)</t>
  </si>
  <si>
    <t>Lima (2009=100)</t>
  </si>
  <si>
    <t>Maquinaria y equipo</t>
  </si>
  <si>
    <t>Materiales construcción</t>
  </si>
  <si>
    <t>Peru
(Diciembre 2013 = 100)</t>
  </si>
  <si>
    <t>Año</t>
  </si>
  <si>
    <t>Fechas</t>
  </si>
  <si>
    <t xml:space="preserve">EMBIG (riesgo país) </t>
  </si>
  <si>
    <t>IPC</t>
  </si>
  <si>
    <t>TC</t>
  </si>
  <si>
    <t xml:space="preserve">IPM </t>
  </si>
  <si>
    <t>Retribución al Estado y Aporte por Regulación</t>
  </si>
  <si>
    <t>Tasa impositiva</t>
  </si>
  <si>
    <t>Variación de precios del insumo trabajo</t>
  </si>
  <si>
    <t>Variación del índice de precios de maquinaria  y equipo</t>
  </si>
  <si>
    <t>Part. % de Maquinaria y Equipo</t>
  </si>
  <si>
    <t>Variación del índice de precios de materiales de construcción</t>
  </si>
  <si>
    <t>Part. % de Materiales de Construcción</t>
  </si>
  <si>
    <t>Variación media de precios del insumo capital</t>
  </si>
  <si>
    <t xml:space="preserve">Variación de precios del insumo trabajo </t>
  </si>
  <si>
    <t>Part. % del insumo trabajo</t>
  </si>
  <si>
    <t>Variación de precios del insumo capital</t>
  </si>
  <si>
    <t>Part. % del insumo capital</t>
  </si>
  <si>
    <t>Total ingresos fuente</t>
  </si>
  <si>
    <t>Total cantidades</t>
  </si>
  <si>
    <t>Total cantidades fuente</t>
  </si>
  <si>
    <t>#</t>
  </si>
  <si>
    <t>Opex total</t>
  </si>
  <si>
    <t>Cantidades de trabajo</t>
  </si>
  <si>
    <t>Precio implícito</t>
  </si>
  <si>
    <t>US$/horas</t>
  </si>
  <si>
    <t>Índices Laspeyres</t>
  </si>
  <si>
    <t>Índices Paasche</t>
  </si>
  <si>
    <t>Numerador (Q trabajo)</t>
  </si>
  <si>
    <t>Denominador (Q trabajo)</t>
  </si>
  <si>
    <t>Numerador (P trabajo)</t>
  </si>
  <si>
    <t>Denominador (P trabajo)</t>
  </si>
  <si>
    <t xml:space="preserve">Gastos materiales </t>
  </si>
  <si>
    <t>Precios de materiales</t>
  </si>
  <si>
    <t>Cantidades implícitas</t>
  </si>
  <si>
    <t>Tasas de depreciación</t>
  </si>
  <si>
    <t>Depreciación acumulada</t>
  </si>
  <si>
    <t>Stock contable de inversiones de capital</t>
  </si>
  <si>
    <t>Software</t>
  </si>
  <si>
    <t>Cantidades de capital</t>
  </si>
  <si>
    <t>Índice que deflacta el capital</t>
  </si>
  <si>
    <t>miles</t>
  </si>
  <si>
    <t>Cantidades promedio de capital</t>
  </si>
  <si>
    <t>Costo promedio ponderado (WACC)</t>
  </si>
  <si>
    <t>Constante</t>
  </si>
  <si>
    <t>Precios de los bienes de capital</t>
  </si>
  <si>
    <t>Numerador (Q materiales)</t>
  </si>
  <si>
    <t>Denominador (Q materiales)</t>
  </si>
  <si>
    <t>Numerador (P materiales)</t>
  </si>
  <si>
    <t>Denominador (P materiales)</t>
  </si>
  <si>
    <t>Numerador (Q capital)</t>
  </si>
  <si>
    <t>Denominador (Q capital)</t>
  </si>
  <si>
    <t>Numerador (P capital)</t>
  </si>
  <si>
    <t>Denominador (P capital)</t>
  </si>
  <si>
    <t>Precios implícitos del insumo capital</t>
  </si>
  <si>
    <t>Gastos de capital</t>
  </si>
  <si>
    <t>Índices de gastos por componentes</t>
  </si>
  <si>
    <t>Indice Laspeyres (Q mano de obra)</t>
  </si>
  <si>
    <t>índice</t>
  </si>
  <si>
    <t>Indice Paasche  (Q mano de obra)</t>
  </si>
  <si>
    <t>Indice Fisher (Q mano de obra)</t>
  </si>
  <si>
    <t>Variación de índice (Q mano de obra)</t>
  </si>
  <si>
    <t>Indice Laspeyres (P mano de obra)</t>
  </si>
  <si>
    <t>Indice Paasche (P mano de obra)</t>
  </si>
  <si>
    <t>Indice Fisher (P mano de obra)</t>
  </si>
  <si>
    <t>Variación de índice (P mano de obra)</t>
  </si>
  <si>
    <t>Cantidades de Materiales</t>
  </si>
  <si>
    <t>Indice Laspeyres (Q materiales)</t>
  </si>
  <si>
    <t>Indice Paasche (Q materiales)</t>
  </si>
  <si>
    <t>Indice Fisher (Q materiales)</t>
  </si>
  <si>
    <t>Variación de índice (Q materiales)</t>
  </si>
  <si>
    <t>Precios de Materiales</t>
  </si>
  <si>
    <t>Indice Laspeyres (P materiales)</t>
  </si>
  <si>
    <t>Indice Paasche (P materiales)</t>
  </si>
  <si>
    <t>Indice Fisher (P materiales)</t>
  </si>
  <si>
    <t>Variación de índice (P materiales)</t>
  </si>
  <si>
    <t>Indice Laspeyres (Q capital)</t>
  </si>
  <si>
    <t>Indice Paasche (Q capital)</t>
  </si>
  <si>
    <t>Indice Fisher (Q capital)</t>
  </si>
  <si>
    <t>Variación de índice (Q capital)</t>
  </si>
  <si>
    <t>Precios de Capital</t>
  </si>
  <si>
    <t>Indice Laspeyres (P capital)</t>
  </si>
  <si>
    <t>Indice Paasche (P capital)</t>
  </si>
  <si>
    <t>Indice Fisher (P capital)</t>
  </si>
  <si>
    <t>Variación de índice (P capital)</t>
  </si>
  <si>
    <t>Índice Laspeyres (Q)</t>
  </si>
  <si>
    <t>Numerador</t>
  </si>
  <si>
    <t>Trabajo agrupado</t>
  </si>
  <si>
    <t>Capital</t>
  </si>
  <si>
    <t>Denominador</t>
  </si>
  <si>
    <t>Índice Laspeyres (P)</t>
  </si>
  <si>
    <t>Índice Paasche (Q)</t>
  </si>
  <si>
    <t>Índice Paasche (P)</t>
  </si>
  <si>
    <t>Índice de cantidades</t>
  </si>
  <si>
    <t>Índice de Laspeyres</t>
  </si>
  <si>
    <t>Índice de Paasche</t>
  </si>
  <si>
    <t>Índice de Fisher</t>
  </si>
  <si>
    <t>Crecimiento Anual Índice de Fisher</t>
  </si>
  <si>
    <t>Índice de precios</t>
  </si>
  <si>
    <t>Índice de gastos agregado</t>
  </si>
  <si>
    <t>Trabajo</t>
  </si>
  <si>
    <t>Ingresos totales brutos</t>
  </si>
  <si>
    <t>Aportes y retribuciones</t>
  </si>
  <si>
    <t>Monto pagado</t>
  </si>
  <si>
    <t>Porcentaje a descontar</t>
  </si>
  <si>
    <t>Aporte a Enapu</t>
  </si>
  <si>
    <t>Provisión APN</t>
  </si>
  <si>
    <t>Provisión Ositran</t>
  </si>
  <si>
    <t>Descuento en proporción al ingreso</t>
  </si>
  <si>
    <t>Descuento total</t>
  </si>
  <si>
    <t>Ingresos desagrupados netos totales</t>
  </si>
  <si>
    <t>Índices</t>
  </si>
  <si>
    <t>Numerador (Q ingresos)</t>
  </si>
  <si>
    <t>Denominador (Q ingresos)</t>
  </si>
  <si>
    <t>Indice Paasche</t>
  </si>
  <si>
    <t>Indice Laspeyres</t>
  </si>
  <si>
    <t>TCB</t>
  </si>
  <si>
    <t>soles por hora</t>
  </si>
  <si>
    <t>Índices APM</t>
  </si>
  <si>
    <t>Productividad total de factores de la empresa</t>
  </si>
  <si>
    <t>Precios de insumos de la empresa</t>
  </si>
  <si>
    <t>Índice de ingresos</t>
  </si>
  <si>
    <t>Índice de gastos</t>
  </si>
  <si>
    <t>Diferencia</t>
  </si>
  <si>
    <t>2011-2019</t>
  </si>
  <si>
    <t>Índice Fisher</t>
  </si>
  <si>
    <t>Crecimiento anual del índice</t>
  </si>
  <si>
    <t>Índices Economía</t>
  </si>
  <si>
    <t>Productividad total de factores de la economía</t>
  </si>
  <si>
    <t>Precios de los insumos de la economía</t>
  </si>
  <si>
    <t>PTF de la economía</t>
  </si>
  <si>
    <t>Productividad total de factores</t>
  </si>
  <si>
    <t>Variación de los precios de la economía (Bernstein &amp; Sappington)</t>
  </si>
  <si>
    <t>Precios de la economía</t>
  </si>
  <si>
    <t>Variación B&amp;S</t>
  </si>
  <si>
    <t>Precios de la economía finales</t>
  </si>
  <si>
    <t>Empresa</t>
  </si>
  <si>
    <t>Economía</t>
  </si>
  <si>
    <t>Precios de los insumos</t>
  </si>
  <si>
    <t>IPME</t>
  </si>
  <si>
    <t>IPMC</t>
  </si>
  <si>
    <t>Jornadas miles</t>
  </si>
  <si>
    <t>US$ / TEU</t>
  </si>
  <si>
    <t xml:space="preserve">Para la evolución de los precios me base en los datos del INEI. Además la fila 33 y 35 se complementan y son diferentes a la sección de variación de precios de los insumos de trabajo. En cuanto a su ponderación, utilice promedios. </t>
  </si>
  <si>
    <t>Bancario Promedio</t>
  </si>
  <si>
    <t>Índices de materiales (US$, 2011)</t>
  </si>
  <si>
    <t>Índices de materiales</t>
  </si>
  <si>
    <t>IPC (2011)</t>
  </si>
  <si>
    <t>Deflactor materiales</t>
  </si>
  <si>
    <t xml:space="preserve">Índice elegido </t>
  </si>
  <si>
    <t>Deflactor de materiales</t>
  </si>
  <si>
    <t xml:space="preserve"> </t>
  </si>
  <si>
    <t>Cantidades de Trabajo</t>
  </si>
  <si>
    <t>Precios de Trabajo</t>
  </si>
  <si>
    <t>Ingresos brutos</t>
  </si>
  <si>
    <t>Servicios</t>
  </si>
  <si>
    <t>Embarque/descarga contenedor 20 (lleno) con grúa pórtico</t>
  </si>
  <si>
    <t>Embarque/descarga contenedor 40 (lleno) con grúa pórtico</t>
  </si>
  <si>
    <t>Embarque/descarga contenedor 20 (vacío) con grúa pórtico</t>
  </si>
  <si>
    <t>Embarque/descarga contenedor 40 (vacío) con grúa pórtico</t>
  </si>
  <si>
    <t>Transbordo contenedor 20 (lleno) con grúa pórtico</t>
  </si>
  <si>
    <t>Transbordo contenedor 40 (lleno) con grúa pórtico</t>
  </si>
  <si>
    <t>Transbordo contenedor 20 (vacío) con grúa pórtico</t>
  </si>
  <si>
    <t>Transbordo contenedor 40 (vacío) con grúa pórtico</t>
  </si>
  <si>
    <t>Embarque/descarga contenedor 20 (lleno) sin grúa pótico</t>
  </si>
  <si>
    <t>Embarque/descarga contenedor 40 (lleno) sin grúa pótico</t>
  </si>
  <si>
    <t>Embarque/descarga contenedor 20 (vacío) sin grúa pótico</t>
  </si>
  <si>
    <t>Embarque/descarga contenedor 40 (vacío) sin grúa pótico</t>
  </si>
  <si>
    <t>Transbordo contenedor 20 (lleno) sin grúa pótico</t>
  </si>
  <si>
    <t>Transbordo contenedor 40 (lleno) sin grúa pótico</t>
  </si>
  <si>
    <t>Transbordo contenedor 20 (vacío) sin grúa pótico</t>
  </si>
  <si>
    <t>Transbordo contenedor 40 (vacío) sin grúa pótico</t>
  </si>
  <si>
    <t>Embarque/descarga de Carga fraccionada</t>
  </si>
  <si>
    <t>Embarque/descarga de Carga rodante</t>
  </si>
  <si>
    <t>Embarque/descarga de Carga granel sólido</t>
  </si>
  <si>
    <t>Embarque/descarga de Carga granel líquido</t>
  </si>
  <si>
    <t>Embarque/desembarque de pasajeros</t>
  </si>
  <si>
    <t xml:space="preserve">Contenedores carga sobredimensionada </t>
  </si>
  <si>
    <t xml:space="preserve">Contenedores carga peligrosa </t>
  </si>
  <si>
    <t>Contenedores de alto cubicaje</t>
  </si>
  <si>
    <t>US$ miles</t>
  </si>
  <si>
    <t>Metro Eslora-Hora</t>
  </si>
  <si>
    <t>Tonelada</t>
  </si>
  <si>
    <t>Pasajero</t>
  </si>
  <si>
    <t>TEU-día</t>
  </si>
  <si>
    <t>Caja</t>
  </si>
  <si>
    <t>Día</t>
  </si>
  <si>
    <t>Cajas</t>
  </si>
  <si>
    <t>Metro Eslora-Hora miles</t>
  </si>
  <si>
    <t>Toneladas miles</t>
  </si>
  <si>
    <t>Pasajeros miles</t>
  </si>
  <si>
    <t>TEU-día miles</t>
  </si>
  <si>
    <t>Cajas miles</t>
  </si>
  <si>
    <t>Días miles</t>
  </si>
  <si>
    <t>US$ / Metro Eslora-Hora</t>
  </si>
  <si>
    <t>US$ / Pasajero</t>
  </si>
  <si>
    <t>US$ / TEU - día</t>
  </si>
  <si>
    <t>US$ / tonelada</t>
  </si>
  <si>
    <t>US$ / jornada</t>
  </si>
  <si>
    <t>US$ / caja</t>
  </si>
  <si>
    <t>US$ / día</t>
  </si>
  <si>
    <t>US$ / unidad</t>
  </si>
  <si>
    <t>Ingresos netos</t>
  </si>
  <si>
    <t>Aporte Enapu</t>
  </si>
  <si>
    <t>Cantidades por servicio</t>
  </si>
  <si>
    <t>Precio por servicio</t>
  </si>
  <si>
    <t>Transbordo contenedor 20 (lleno)</t>
  </si>
  <si>
    <t>Transbordo contenedor 40 (lleno)</t>
  </si>
  <si>
    <t>Transbordo contenedor 20 (vacío)</t>
  </si>
  <si>
    <t>Transbordo contenedor 40 (vacío)</t>
  </si>
  <si>
    <t>Precio representativo del capital</t>
  </si>
  <si>
    <t>Contenedor</t>
  </si>
  <si>
    <t>Ciclo completo</t>
  </si>
  <si>
    <t>Cálculo del factor de productividad</t>
  </si>
  <si>
    <t>BCRP</t>
  </si>
  <si>
    <t>soles/US$</t>
  </si>
  <si>
    <t>Ingresos promedio</t>
  </si>
  <si>
    <t>Ingreso promedio soles</t>
  </si>
  <si>
    <t>dólares por hora</t>
  </si>
  <si>
    <t>TC promedio del último trimestre</t>
  </si>
  <si>
    <t>IPME de diciembre (base 2011)</t>
  </si>
  <si>
    <t>Variación de los precios del insumo trabajo</t>
  </si>
  <si>
    <t>Variación de los precios del insumo capital</t>
  </si>
  <si>
    <t>TC promedio diciembre</t>
  </si>
  <si>
    <t>IPME ajustado por TC diciembre (base 2011)</t>
  </si>
  <si>
    <t>Cálculo</t>
  </si>
  <si>
    <t>Pozo a tierra</t>
  </si>
  <si>
    <t>Pozo a tierra - Muelle 4</t>
  </si>
  <si>
    <t>Dragado Muelle 7</t>
  </si>
  <si>
    <t>Activos fijos (equipos - IPME)</t>
  </si>
  <si>
    <t>Labarthe</t>
  </si>
  <si>
    <t>APMTC</t>
  </si>
  <si>
    <t>Accesorios fijos para maquinaria</t>
  </si>
  <si>
    <t>Activos fijos (infraestructura - IPMC)</t>
  </si>
  <si>
    <t>Depreciación anual</t>
  </si>
  <si>
    <t>Camionetas</t>
  </si>
  <si>
    <t>Vehiculo incendio</t>
  </si>
  <si>
    <t>Tractor</t>
  </si>
  <si>
    <t>Camión</t>
  </si>
  <si>
    <t>Camión cisterna</t>
  </si>
  <si>
    <t>Motor bomba grúa</t>
  </si>
  <si>
    <t>RTG (equipo soporte IT)</t>
  </si>
  <si>
    <t>Reach stacker (equipo soporte IT)</t>
  </si>
  <si>
    <t>Bote inspección</t>
  </si>
  <si>
    <t>Cuchara y tolvas</t>
  </si>
  <si>
    <t>Equipo descarga pescado</t>
  </si>
  <si>
    <t>Spreader (MHC)</t>
  </si>
  <si>
    <t>Apilador</t>
  </si>
  <si>
    <t>Reach stacker (overhaul)</t>
  </si>
  <si>
    <t>Terminal tractor (overhaul)</t>
  </si>
  <si>
    <t>Trailer para spreaders</t>
  </si>
  <si>
    <t>Escaner y detectores</t>
  </si>
  <si>
    <t>Over height frame</t>
  </si>
  <si>
    <t>Instalación (ventanas, persianas, pisos, alfombras, baños y similares)</t>
  </si>
  <si>
    <t>Instalación (casetas, cercos, enmallado, zanjas, cableado, drywal y otros)</t>
  </si>
  <si>
    <t>Implementación Sala Servidores</t>
  </si>
  <si>
    <t>Muelles y bitas (refacción y señalización)</t>
  </si>
  <si>
    <t>Terminal Tractor</t>
  </si>
  <si>
    <t>Montacargas</t>
  </si>
  <si>
    <t>STS Spreader</t>
  </si>
  <si>
    <t>Equipos menores</t>
  </si>
  <si>
    <t>Sistema seguridad maquinaria</t>
  </si>
  <si>
    <t>Intangibles (infraestructura - IPMC)</t>
  </si>
  <si>
    <t xml:space="preserve">Muelle 5 </t>
  </si>
  <si>
    <t>Muelle 5 y área de respaldo</t>
  </si>
  <si>
    <t>Muelle 5 (dragado) - Entrega 1</t>
  </si>
  <si>
    <t>Muelle 5 (dragado) - Entrega 2</t>
  </si>
  <si>
    <t xml:space="preserve">Edificio administrativo </t>
  </si>
  <si>
    <t>Edif. Administrativo (instalación)</t>
  </si>
  <si>
    <t>Edificio administrativo (CCTV seguridad-Hardware)</t>
  </si>
  <si>
    <t>Edificio administrativo (Cableado-Hardware)</t>
  </si>
  <si>
    <t>Edificio administrativo (muebles y enseres)</t>
  </si>
  <si>
    <t>Muelle 11 (incluye área de respaldo)</t>
  </si>
  <si>
    <t>Muelle 11 (dragado)</t>
  </si>
  <si>
    <t>Edificio amenidades</t>
  </si>
  <si>
    <t>Silo</t>
  </si>
  <si>
    <t>Nuevo Gate</t>
  </si>
  <si>
    <t xml:space="preserve">Pavimento reefer </t>
  </si>
  <si>
    <t>Reefer rack</t>
  </si>
  <si>
    <t>Taller de mantenimiento</t>
  </si>
  <si>
    <t>Pavimento carga general</t>
  </si>
  <si>
    <t>Sub-estación eléctrica</t>
  </si>
  <si>
    <t>Cierre construcción Fases 1&amp;2 (JJCC)</t>
  </si>
  <si>
    <t>Intangibles (equipo - IPME)</t>
  </si>
  <si>
    <t xml:space="preserve">Grúas móviles (MHC) </t>
  </si>
  <si>
    <t xml:space="preserve">Empty handler (EH) </t>
  </si>
  <si>
    <t xml:space="preserve">Reach Stacker (RS) </t>
  </si>
  <si>
    <t>Bulldozer</t>
  </si>
  <si>
    <t>Camionetas pick up</t>
  </si>
  <si>
    <t>Camionetas panel</t>
  </si>
  <si>
    <t>Plataforma elevadora</t>
  </si>
  <si>
    <t>Bote E20</t>
  </si>
  <si>
    <t>Camión 5 tons</t>
  </si>
  <si>
    <t>Camión barredor</t>
  </si>
  <si>
    <t>Plataforma (Trailer)</t>
  </si>
  <si>
    <t>STS</t>
  </si>
  <si>
    <t>STS spreader</t>
  </si>
  <si>
    <t>RTG</t>
  </si>
  <si>
    <t>RTG spreader</t>
  </si>
  <si>
    <t>Tolvas</t>
  </si>
  <si>
    <t>Equipo absorvente granos</t>
  </si>
  <si>
    <t xml:space="preserve">Conveyor </t>
  </si>
  <si>
    <t>Remolque para residuos</t>
  </si>
  <si>
    <t xml:space="preserve">Software - Edificio administrativo </t>
  </si>
  <si>
    <t>Optimización informática</t>
  </si>
  <si>
    <t>Reefer rack (modificación estructura)</t>
  </si>
  <si>
    <t>Montacargas (camaras seguridad)</t>
  </si>
  <si>
    <t>Tolvas (grupos electrogenos)</t>
  </si>
  <si>
    <t>Minicargador</t>
  </si>
  <si>
    <t>Minicargador (camaras seguridad)</t>
  </si>
  <si>
    <t>Excavadora</t>
  </si>
  <si>
    <t>Cucharas</t>
  </si>
  <si>
    <t>Cargador frontal</t>
  </si>
  <si>
    <t>Cargador frontal (camaras seguridad)</t>
  </si>
  <si>
    <t>Spreader</t>
  </si>
  <si>
    <t>Elevadores tijera</t>
  </si>
  <si>
    <t>Sistema Most</t>
  </si>
  <si>
    <t>Pre-adjudicación (Proinversión y otros)</t>
  </si>
  <si>
    <t>Pre-operativo (implementación)</t>
  </si>
  <si>
    <t>Licencia</t>
  </si>
  <si>
    <t>Hardware</t>
  </si>
  <si>
    <t>Infraestructura eléctrica</t>
  </si>
  <si>
    <t>EIA y CIRA</t>
  </si>
  <si>
    <t>Estudios Terminal (Riesgo Tsunami y Analisis estructural)</t>
  </si>
  <si>
    <t>Fondo pesquero</t>
  </si>
  <si>
    <t>Asistencia técnica (hab. urbana, licencias y permisos)</t>
  </si>
  <si>
    <t>Tramites municipales</t>
  </si>
  <si>
    <t>Elaboración bases licitación obras Etapas 1 y 2</t>
  </si>
  <si>
    <t>Asesoría legal implementación Etapas 1 y 2</t>
  </si>
  <si>
    <t>Consultorias - Revisión aceptación de obras Fases 1 &amp; 2</t>
  </si>
  <si>
    <t>Consultorías por cierre construcción Fases 1&amp;2 - Consorcio FCC - JJC</t>
  </si>
  <si>
    <t>Capitalización Equipo Proyectos Implementación Etapas 1 y 2</t>
  </si>
  <si>
    <t>Expediente técnico, diseño e implementación - Etapas 1 y 2</t>
  </si>
  <si>
    <t>Estudios e investigación (geotécnica, goefisica, sismica y similares)</t>
  </si>
  <si>
    <t>Otros estudios y asesorías - Etapas 1 y 2</t>
  </si>
  <si>
    <t>Energía, desmontaje y seguridad- Etapas 1 y 2</t>
  </si>
  <si>
    <t>Soporte implementación - Etapas 1 y 2</t>
  </si>
  <si>
    <t>Supervisión - Etapas 1 y 2</t>
  </si>
  <si>
    <t>Costo Emisión Carta fianza - Etapas 1 y 2</t>
  </si>
  <si>
    <t>Asesoría legal - Etapas 1 y 2</t>
  </si>
  <si>
    <t>Otras obras (canaleta, paso a nivel, potencia eléctrica y otros)</t>
  </si>
  <si>
    <t>Estudios y consultorías (simulación de maniobra, silo y otros)</t>
  </si>
  <si>
    <t xml:space="preserve">Habilitación Urbana </t>
  </si>
  <si>
    <t>Endurecedor concreto y otras obras finales  - Etapas 1 y 2</t>
  </si>
  <si>
    <t>Gastos área proyectos - Etapas 1 y 2</t>
  </si>
  <si>
    <t>Monitoreo arqueológico, reparación y movimientos - Etapas 1 y 2</t>
  </si>
  <si>
    <t>Gastos de impuesto a la renta por servicios terceros - Etapas 1 y 2</t>
  </si>
  <si>
    <t>Préstamo I y II (intereses)</t>
  </si>
  <si>
    <t>Asesoría Tecnica DAB (construccion Fases 1 &amp; 2)</t>
  </si>
  <si>
    <t>Tasa de tramitación y comisión IFC</t>
  </si>
  <si>
    <t>Impuesto Predial Municipalidad del Callao</t>
  </si>
  <si>
    <t>Póliza de Seguro Todo Riesgo - Construcción - Etapas 1 y 2</t>
  </si>
  <si>
    <t>Implementación Acceso Atalaya</t>
  </si>
  <si>
    <t>Trabajos y supervisión - levantamiento observaciones Etapas 1 y 2</t>
  </si>
  <si>
    <t>EIA - levantamiento observaciones Etapas 1 y 2</t>
  </si>
  <si>
    <t>Asesorías - cierre DAB (consorcio JJCC)</t>
  </si>
  <si>
    <t>Soporte Claim Management Services - DAB</t>
  </si>
  <si>
    <t>Viáticos  personal proceso DAB</t>
  </si>
  <si>
    <t>Reembolso a Consorcio FCC-JJC por gastos incurridos - proceso DAB</t>
  </si>
  <si>
    <t>Gastos de IR asumidos por asesoría con el DAB</t>
  </si>
  <si>
    <t>Trailer ro-ro</t>
  </si>
  <si>
    <t>Spreader MHC</t>
  </si>
  <si>
    <t>Equipo contra incendio</t>
  </si>
  <si>
    <t>MHC (overhaul)</t>
  </si>
  <si>
    <t>RS (overhaul)</t>
  </si>
  <si>
    <t>Tolva</t>
  </si>
  <si>
    <t>Grúa Terex</t>
  </si>
  <si>
    <t>Montacargas - reposición</t>
  </si>
  <si>
    <t>Reach stacker - reposición</t>
  </si>
  <si>
    <t>Terminal tractor - reposición</t>
  </si>
  <si>
    <t>Trailer - reposición</t>
  </si>
  <si>
    <t>Software y programas</t>
  </si>
  <si>
    <t>Sub total</t>
  </si>
  <si>
    <t>Edificio amenidades, Mobiliario e instalaciones Equipo IT</t>
  </si>
  <si>
    <t>Taller de mantenimiento &amp; Equipo Mantenimiento</t>
  </si>
  <si>
    <t>ç</t>
  </si>
  <si>
    <t>Stock inicial</t>
  </si>
  <si>
    <t>Infraestructura y obras</t>
  </si>
  <si>
    <t>Stock de capital contable (Stock + inversiones adicionales - depreciación)</t>
  </si>
  <si>
    <t>Stock inicial y flujo de inversiones adicionales</t>
  </si>
  <si>
    <t>Subtotal + stock inicial</t>
  </si>
  <si>
    <t>Precio representativo para bienes de capital (infraestructura)</t>
  </si>
  <si>
    <t>Precio representativo para bienes de capital (equipo)</t>
  </si>
  <si>
    <t>Cantidades de Capital</t>
  </si>
  <si>
    <t>Stock de capital real</t>
  </si>
  <si>
    <t>Cálculo del WACC (escenario Proinversión)</t>
  </si>
  <si>
    <t>Préstamos</t>
  </si>
  <si>
    <t>D1 - Préstamo 1 (12 años)</t>
  </si>
  <si>
    <t>D2 - Préstamo 2 (10 años)</t>
  </si>
  <si>
    <t>D2A - Préstamo 3 (7 años)</t>
  </si>
  <si>
    <t>Costo de deuda vinculado al pago de intereses</t>
  </si>
  <si>
    <t>Desembolsos</t>
  </si>
  <si>
    <t>D1-1 Floating</t>
  </si>
  <si>
    <t>D1-1 Fixed</t>
  </si>
  <si>
    <t>D2-1 Floating</t>
  </si>
  <si>
    <t>D2-1 Fixed</t>
  </si>
  <si>
    <t>D3-1 Floating</t>
  </si>
  <si>
    <t>D3-1 Fixed</t>
  </si>
  <si>
    <t>D4-1 Floating</t>
  </si>
  <si>
    <t>D4-1 Fixed</t>
  </si>
  <si>
    <t>D5-1 Floating</t>
  </si>
  <si>
    <t>D5-1 Fixed</t>
  </si>
  <si>
    <t>D1-2 Floating</t>
  </si>
  <si>
    <t>D1-2 Fixed</t>
  </si>
  <si>
    <t>D1-2A Floating</t>
  </si>
  <si>
    <t>D1-2A Fixed</t>
  </si>
  <si>
    <t>Total desembolsado</t>
  </si>
  <si>
    <t>Tasas</t>
  </si>
  <si>
    <t>Tasas por desembolso</t>
  </si>
  <si>
    <t>Costo de deuda</t>
  </si>
  <si>
    <t>Costo de deuda vinculado al pago de commitments</t>
  </si>
  <si>
    <t>Commitments</t>
  </si>
  <si>
    <t>Commitment 1</t>
  </si>
  <si>
    <t>Commitment 2</t>
  </si>
  <si>
    <t>Commitment 3</t>
  </si>
  <si>
    <t>Commitment 4</t>
  </si>
  <si>
    <t>Commitment 5</t>
  </si>
  <si>
    <t>Commitment 6</t>
  </si>
  <si>
    <t>Commitment 7</t>
  </si>
  <si>
    <t>Commitment 8</t>
  </si>
  <si>
    <t>Tasas por commitment</t>
  </si>
  <si>
    <t>Costo de deuda vinculado a la estructuración de deuda</t>
  </si>
  <si>
    <t>Front / structuring fees</t>
  </si>
  <si>
    <t>Deuda (principal)</t>
  </si>
  <si>
    <t>TIR</t>
  </si>
  <si>
    <t>Debt</t>
  </si>
  <si>
    <t>Structurting fee rate</t>
  </si>
  <si>
    <t>Amount</t>
  </si>
  <si>
    <t>Starting year</t>
  </si>
  <si>
    <t>Average</t>
  </si>
  <si>
    <t>Debt 1</t>
  </si>
  <si>
    <t>Debt 2</t>
  </si>
  <si>
    <t>Debt 2A</t>
  </si>
  <si>
    <t>Costo de deuda final</t>
  </si>
  <si>
    <t>Costo de deuda de intereses</t>
  </si>
  <si>
    <t>Costo de deuda de commitments</t>
  </si>
  <si>
    <t>Costo de deuda por estructuración</t>
  </si>
  <si>
    <t xml:space="preserve">Costo de deuda industría maritima </t>
  </si>
  <si>
    <t>Damodaran</t>
  </si>
  <si>
    <t>Riesgo país</t>
  </si>
  <si>
    <t>Preparado para:</t>
  </si>
  <si>
    <t>Pestaña</t>
  </si>
  <si>
    <t>Descripción</t>
  </si>
  <si>
    <t>Propuesta de revisión tarifaria del Terminal Norte Multipropósito del Callao para el quinquenio 2021-2026</t>
  </si>
  <si>
    <t>Lima, 27 de enero 2021</t>
  </si>
  <si>
    <t>Resultados</t>
  </si>
  <si>
    <t xml:space="preserve">   Factor X</t>
  </si>
  <si>
    <t>1/ Las líneas resaltadas de gris señalan las secciones del Libro, las líneas sin resaltar detallan el contenido de cada hoja.</t>
  </si>
  <si>
    <t>Ingresos (APM)</t>
  </si>
  <si>
    <t>Gastos (APM)</t>
  </si>
  <si>
    <t>Precios de capital</t>
  </si>
  <si>
    <t>Insumos APMTC</t>
  </si>
  <si>
    <t>Sección que contiene el resultado final de la estimación.</t>
  </si>
  <si>
    <r>
      <t xml:space="preserve">Cálculo del costo promedio de capital de la empresa (utilizado como insumo de los </t>
    </r>
    <r>
      <rPr>
        <b/>
        <sz val="10"/>
        <color theme="1"/>
        <rFont val="Arial"/>
        <family val="2"/>
      </rPr>
      <t>Precios de capital</t>
    </r>
    <r>
      <rPr>
        <sz val="10"/>
        <color theme="1"/>
        <rFont val="Arial"/>
        <family val="2"/>
      </rPr>
      <t>).</t>
    </r>
  </si>
  <si>
    <t>Cálculo de los precios de los insumos de la economía y detalle de la productividad total de factores reportada por The Conference Board.</t>
  </si>
  <si>
    <t>Sección que contiene las hojas de la información operativa y financiera entregada por APMTC.</t>
  </si>
  <si>
    <t>Opex</t>
  </si>
  <si>
    <t>Capex</t>
  </si>
  <si>
    <t>Depreciación</t>
  </si>
  <si>
    <t>Ingresos</t>
  </si>
  <si>
    <t>Datos financieros de la empresa (monto de deuda, pagos de los intereses, entre otros).</t>
  </si>
  <si>
    <t>Cálculo de los índices de cantidades de productos de APMTC (utilizados para el cálculo de la PTF de la empresa).</t>
  </si>
  <si>
    <t xml:space="preserve">Montos invertidos en personal y materiales de la empresa y sus respectivas cantidades. </t>
  </si>
  <si>
    <t>Inversiones iniciales entregadas por la Enapu e inversiones adicionales realizadas porAPMTC.</t>
  </si>
  <si>
    <t>Gasto en depreciación reportado por las inversiones detalladas en Capex.</t>
  </si>
  <si>
    <t>Insumos macro</t>
  </si>
  <si>
    <t>Macro anual</t>
  </si>
  <si>
    <t>Macro mensual</t>
  </si>
  <si>
    <t>Contiene dos cálculos: (i) los promedios de las variaciones porcentuales interanuales para los precios de la empresa, los precios de la economía, la productividad de la empresa y la productividad de la economía; y (ii) el resultado de la ecuación que resulta en el factor de productividad final.</t>
  </si>
  <si>
    <t>Sección que contiene las hojas con los cálculos derivados de los insumos de las pestañas de Insumos APMTC e Insumos macro.</t>
  </si>
  <si>
    <t>Índices de cantidades y de precios de los insumos de APMTC (utilizados para el cálculo de la PTF de la empresa y la variación de los precios de la empresa).</t>
  </si>
  <si>
    <r>
      <t xml:space="preserve">Cálculo de los precios implícitos del insumo capital (utilizados como insumos de la hoja </t>
    </r>
    <r>
      <rPr>
        <b/>
        <sz val="10"/>
        <color theme="1"/>
        <rFont val="Arial"/>
        <family val="2"/>
      </rPr>
      <t>Gastos (APMTC)</t>
    </r>
    <r>
      <rPr>
        <sz val="10"/>
        <color theme="1"/>
        <rFont val="Arial"/>
        <family val="2"/>
      </rPr>
      <t>).</t>
    </r>
  </si>
  <si>
    <t>Supuestos</t>
  </si>
  <si>
    <t>Datos de fuentes secundarias (BCRP, SUNAT, INEI, entre otros) con frecuencia mensual.</t>
  </si>
  <si>
    <t>Sección que contiene  datos descargados de fuentes secundarias</t>
  </si>
  <si>
    <t>Datos de fuentes secundarias (BCRP, SUNAT, INEI, entre otros) con frecuencia anual.</t>
  </si>
  <si>
    <t>Ingresos y cantidades de los servicios estándares y servicios especiales brindados por APMTC.</t>
  </si>
  <si>
    <t>fecha</t>
  </si>
  <si>
    <t>ajuste proforma</t>
  </si>
  <si>
    <t>Ajuste proforma de tratamiento especial de carga fraccionada peligrosa</t>
  </si>
  <si>
    <t>Inicio de operaciones</t>
  </si>
  <si>
    <t>Inicio de año</t>
  </si>
  <si>
    <t>Fin de año</t>
  </si>
  <si>
    <t>Contiene los supuestos que son utilizados transversalmente en el Libro.</t>
  </si>
  <si>
    <t>PTF</t>
  </si>
  <si>
    <t>IPMC de diciembre (base 2011)</t>
  </si>
  <si>
    <t>IPMC ajustado por TC diciembre (base 2011)</t>
  </si>
  <si>
    <r>
      <t xml:space="preserve">Cálculo de las cantidades implícitas del insumo capital (utilizadas como insumos de la hoja </t>
    </r>
    <r>
      <rPr>
        <b/>
        <sz val="10"/>
        <color theme="1"/>
        <rFont val="Arial"/>
        <family val="2"/>
      </rPr>
      <t>Gastos (APMTC)</t>
    </r>
    <r>
      <rPr>
        <sz val="10"/>
        <color theme="1"/>
        <rFont val="Arial"/>
        <family val="2"/>
      </rPr>
      <t xml:space="preserve">). </t>
    </r>
  </si>
  <si>
    <t>Las celdas resaltadas de gris son aquellas cuentas en las que se ha utilizado la depreciación implícita de los activos (en función de los datos reportados por APMTC).</t>
  </si>
  <si>
    <t>Ajuste proforma de carga de proyecto</t>
  </si>
  <si>
    <t>Ajuste proforma de uso de barreras de contención</t>
  </si>
  <si>
    <t>Ajuste proforma de contenedores de alto cubitaje</t>
  </si>
  <si>
    <t>Ajuste de carga de proyecto</t>
  </si>
  <si>
    <t>Ajuste de tratamiento especial carga fraccionada peligrosa</t>
  </si>
  <si>
    <t>Ajuste de uso de barreras de contención</t>
  </si>
  <si>
    <t>Ajuste de contenedores de alto cubitaje</t>
  </si>
  <si>
    <t xml:space="preserve">Capex </t>
  </si>
  <si>
    <t>Costo de deuda pre tax</t>
  </si>
  <si>
    <t>Costo de patrimonio Proinversión</t>
  </si>
  <si>
    <t>WACC resultante</t>
  </si>
  <si>
    <t>2/ El nivel de detalle mostrado a lo largo del presente Libro  constituye el mínimo necesario para realizar el cálculo del factor de productividad propuesto por APOYO Consultoría.</t>
  </si>
  <si>
    <r>
      <t>Índice de contenidos</t>
    </r>
    <r>
      <rPr>
        <b/>
        <vertAlign val="superscript"/>
        <sz val="8.5"/>
        <color theme="0"/>
        <rFont val="Arial"/>
        <family val="2"/>
      </rPr>
      <t>1/2/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</si>
</sst>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;\(#,##0\);\-"/>
    <numFmt numFmtId="166" formatCode="#,##0\ ;\(#,##0\);\-\ "/>
    <numFmt numFmtId="167" formatCode="_ * #,##0.00_ ;_ * \-#,##0.00_ ;_ * &quot;-&quot;??_ ;_ @_ "/>
    <numFmt numFmtId="168" formatCode="_-* #,##0_-;\-* #,##0_-;_-* &quot;-&quot;??_-;_-@_-"/>
    <numFmt numFmtId="169" formatCode="0.0%"/>
    <numFmt numFmtId="170" formatCode="0.0"/>
    <numFmt numFmtId="171" formatCode="0.00000"/>
    <numFmt numFmtId="172" formatCode="_ * #,##0_ ;_ * \-#,##0_ ;_ * &quot;-&quot;??_ ;_ @_ "/>
    <numFmt numFmtId="173" formatCode="#,##0.0;\(#,##0.0\);\-"/>
    <numFmt numFmtId="174" formatCode="#,##0.0"/>
    <numFmt numFmtId="175" formatCode="#,##0.00\ ;\(#,##0.00\);\-\ "/>
    <numFmt numFmtId="176" formatCode="#,##0.00000000\ ;\(#,##0.00000000\);\-\ "/>
    <numFmt numFmtId="177" formatCode="_(* #,##0_);_(* \(#,##0\);_(* &quot;-&quot;??_);_(@_)"/>
    <numFmt numFmtId="178" formatCode="_(* #,##0.0_);_(* \(#,##0.0\);_(* &quot;-&quot;??_);_(@_)"/>
    <numFmt numFmtId="179" formatCode="0.000%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2"/>
      <name val="Arial"/>
      <family val="2"/>
    </font>
    <font>
      <b/>
      <sz val="11"/>
      <color rgb="FF0000FF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vertAlign val="superscript"/>
      <sz val="8.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443">
    <xf numFmtId="0" fontId="0" fillId="0" borderId="0" xfId="0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/>
    <xf numFmtId="0" fontId="4" fillId="0" borderId="0" xfId="0" applyFont="1"/>
    <xf numFmtId="3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center"/>
    </xf>
    <xf numFmtId="0" fontId="2" fillId="0" borderId="0" xfId="0" applyFont="1"/>
    <xf numFmtId="166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166" fontId="5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6" fontId="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2" borderId="0" xfId="0" applyFont="1" applyFill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0" fontId="4" fillId="0" borderId="0" xfId="0" applyNumberFormat="1" applyFont="1"/>
    <xf numFmtId="0" fontId="4" fillId="0" borderId="0" xfId="0" applyFont="1" applyFill="1"/>
    <xf numFmtId="0" fontId="9" fillId="4" borderId="0" xfId="0" applyFont="1" applyFill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9" fontId="4" fillId="0" borderId="0" xfId="0" applyNumberFormat="1" applyFont="1"/>
    <xf numFmtId="9" fontId="4" fillId="0" borderId="0" xfId="2" applyFont="1"/>
    <xf numFmtId="0" fontId="2" fillId="2" borderId="0" xfId="0" applyFont="1" applyFill="1"/>
    <xf numFmtId="1" fontId="3" fillId="2" borderId="0" xfId="0" applyNumberFormat="1" applyFont="1" applyFill="1" applyAlignment="1">
      <alignment horizontal="center"/>
    </xf>
    <xf numFmtId="170" fontId="4" fillId="5" borderId="0" xfId="0" applyNumberFormat="1" applyFont="1" applyFill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1" fontId="4" fillId="0" borderId="0" xfId="0" applyNumberFormat="1" applyFont="1"/>
    <xf numFmtId="170" fontId="4" fillId="0" borderId="0" xfId="0" applyNumberFormat="1" applyFont="1"/>
    <xf numFmtId="1" fontId="4" fillId="0" borderId="0" xfId="0" applyNumberFormat="1" applyFont="1" applyAlignment="1">
      <alignment horizontal="right" vertical="center"/>
    </xf>
    <xf numFmtId="2" fontId="9" fillId="4" borderId="0" xfId="0" applyNumberFormat="1" applyFont="1" applyFill="1" applyAlignment="1">
      <alignment horizontal="center"/>
    </xf>
    <xf numFmtId="170" fontId="9" fillId="4" borderId="0" xfId="0" applyNumberFormat="1" applyFont="1" applyFill="1"/>
    <xf numFmtId="170" fontId="4" fillId="7" borderId="0" xfId="0" applyNumberFormat="1" applyFont="1" applyFill="1" applyAlignment="1">
      <alignment horizontal="right" vertical="center"/>
    </xf>
    <xf numFmtId="17" fontId="4" fillId="0" borderId="0" xfId="0" applyNumberFormat="1" applyFont="1"/>
    <xf numFmtId="169" fontId="4" fillId="0" borderId="0" xfId="2" applyNumberFormat="1" applyFont="1" applyFill="1" applyAlignment="1">
      <alignment horizontal="right" vertical="center"/>
    </xf>
    <xf numFmtId="172" fontId="9" fillId="4" borderId="0" xfId="4" applyNumberFormat="1" applyFont="1" applyFill="1" applyAlignment="1">
      <alignment horizontal="center"/>
    </xf>
    <xf numFmtId="170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 wrapText="1"/>
    </xf>
    <xf numFmtId="0" fontId="2" fillId="0" borderId="0" xfId="0" applyFont="1" applyFill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4" fillId="0" borderId="0" xfId="0" applyFont="1" applyFill="1" applyProtection="1"/>
    <xf numFmtId="166" fontId="5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166" fontId="3" fillId="0" borderId="0" xfId="0" applyNumberFormat="1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horizontal="right" vertical="center"/>
    </xf>
    <xf numFmtId="166" fontId="5" fillId="0" borderId="0" xfId="0" applyNumberFormat="1" applyFont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right" vertical="center"/>
    </xf>
    <xf numFmtId="166" fontId="2" fillId="0" borderId="0" xfId="0" applyNumberFormat="1" applyFont="1"/>
    <xf numFmtId="0" fontId="4" fillId="0" borderId="0" xfId="0" applyFont="1" applyBorder="1"/>
    <xf numFmtId="0" fontId="2" fillId="0" borderId="5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3" fontId="6" fillId="0" borderId="0" xfId="0" applyNumberFormat="1" applyFont="1" applyBorder="1"/>
    <xf numFmtId="9" fontId="4" fillId="0" borderId="0" xfId="2" applyFont="1" applyAlignment="1">
      <alignment horizontal="center"/>
    </xf>
    <xf numFmtId="166" fontId="5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0" fontId="6" fillId="0" borderId="0" xfId="2" applyNumberFormat="1" applyFont="1" applyAlignment="1" applyProtection="1">
      <alignment horizontal="right" vertical="center"/>
    </xf>
    <xf numFmtId="10" fontId="6" fillId="0" borderId="1" xfId="2" applyNumberFormat="1" applyFont="1" applyBorder="1" applyAlignment="1" applyProtection="1">
      <alignment horizontal="right" vertical="center"/>
    </xf>
    <xf numFmtId="9" fontId="5" fillId="0" borderId="0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7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centerContinuous" vertical="center"/>
    </xf>
    <xf numFmtId="10" fontId="6" fillId="0" borderId="0" xfId="2" applyNumberFormat="1" applyFont="1" applyBorder="1" applyAlignment="1">
      <alignment horizontal="centerContinuous" vertical="center"/>
    </xf>
    <xf numFmtId="3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2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left"/>
    </xf>
    <xf numFmtId="166" fontId="5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0" fontId="4" fillId="0" borderId="0" xfId="2" applyNumberFormat="1" applyFont="1"/>
    <xf numFmtId="0" fontId="2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/>
    </xf>
    <xf numFmtId="169" fontId="6" fillId="0" borderId="0" xfId="2" applyNumberFormat="1" applyFont="1" applyBorder="1" applyAlignment="1">
      <alignment horizontal="right"/>
    </xf>
    <xf numFmtId="169" fontId="5" fillId="0" borderId="0" xfId="2" applyNumberFormat="1" applyFont="1"/>
    <xf numFmtId="0" fontId="4" fillId="0" borderId="1" xfId="0" applyFont="1" applyBorder="1" applyAlignment="1">
      <alignment horizontal="left" indent="1"/>
    </xf>
    <xf numFmtId="169" fontId="5" fillId="0" borderId="1" xfId="2" applyNumberFormat="1" applyFont="1" applyBorder="1"/>
    <xf numFmtId="10" fontId="2" fillId="0" borderId="0" xfId="0" applyNumberFormat="1" applyFont="1"/>
    <xf numFmtId="169" fontId="6" fillId="0" borderId="0" xfId="2" applyNumberFormat="1" applyFont="1"/>
    <xf numFmtId="169" fontId="4" fillId="0" borderId="0" xfId="2" applyNumberFormat="1" applyFont="1"/>
    <xf numFmtId="10" fontId="4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9" borderId="0" xfId="0" applyFont="1" applyFill="1"/>
    <xf numFmtId="0" fontId="8" fillId="9" borderId="0" xfId="0" applyFont="1" applyFill="1"/>
    <xf numFmtId="10" fontId="4" fillId="0" borderId="1" xfId="2" applyNumberFormat="1" applyFont="1" applyFill="1" applyBorder="1"/>
    <xf numFmtId="4" fontId="4" fillId="0" borderId="0" xfId="0" applyNumberFormat="1" applyFont="1" applyBorder="1"/>
    <xf numFmtId="10" fontId="4" fillId="0" borderId="1" xfId="2" applyNumberFormat="1" applyFont="1" applyBorder="1"/>
    <xf numFmtId="0" fontId="4" fillId="0" borderId="0" xfId="0" applyFont="1" applyBorder="1" applyAlignment="1">
      <alignment horizontal="left" indent="1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70" fontId="5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165" fontId="13" fillId="0" borderId="0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13" fillId="0" borderId="1" xfId="0" applyNumberFormat="1" applyFont="1" applyBorder="1"/>
    <xf numFmtId="165" fontId="15" fillId="0" borderId="0" xfId="0" applyNumberFormat="1" applyFont="1" applyBorder="1"/>
    <xf numFmtId="0" fontId="12" fillId="0" borderId="0" xfId="0" applyFont="1" applyFill="1" applyBorder="1"/>
    <xf numFmtId="165" fontId="11" fillId="0" borderId="0" xfId="0" applyNumberFormat="1" applyFont="1"/>
    <xf numFmtId="165" fontId="11" fillId="3" borderId="0" xfId="0" applyNumberFormat="1" applyFont="1" applyFill="1"/>
    <xf numFmtId="0" fontId="12" fillId="0" borderId="5" xfId="0" applyFont="1" applyBorder="1"/>
    <xf numFmtId="0" fontId="11" fillId="0" borderId="5" xfId="0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/>
    <xf numFmtId="168" fontId="4" fillId="0" borderId="0" xfId="1" applyNumberFormat="1" applyFont="1"/>
    <xf numFmtId="168" fontId="4" fillId="0" borderId="0" xfId="0" applyNumberFormat="1" applyFont="1"/>
    <xf numFmtId="166" fontId="4" fillId="3" borderId="0" xfId="0" applyNumberFormat="1" applyFont="1" applyFill="1"/>
    <xf numFmtId="166" fontId="4" fillId="0" borderId="0" xfId="0" applyNumberFormat="1" applyFont="1" applyFill="1"/>
    <xf numFmtId="0" fontId="16" fillId="0" borderId="0" xfId="0" applyFont="1"/>
    <xf numFmtId="10" fontId="16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0" fontId="17" fillId="0" borderId="0" xfId="0" applyFont="1"/>
    <xf numFmtId="16" fontId="4" fillId="0" borderId="0" xfId="0" applyNumberFormat="1" applyFont="1"/>
    <xf numFmtId="0" fontId="4" fillId="5" borderId="0" xfId="0" applyFont="1" applyFill="1"/>
    <xf numFmtId="0" fontId="2" fillId="5" borderId="0" xfId="0" applyFont="1" applyFill="1"/>
    <xf numFmtId="0" fontId="2" fillId="0" borderId="0" xfId="0" applyFont="1" applyBorder="1"/>
    <xf numFmtId="1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15" fillId="0" borderId="3" xfId="0" applyNumberFormat="1" applyFont="1" applyBorder="1"/>
    <xf numFmtId="0" fontId="12" fillId="0" borderId="3" xfId="0" applyFont="1" applyBorder="1"/>
    <xf numFmtId="166" fontId="15" fillId="0" borderId="3" xfId="0" applyNumberFormat="1" applyFont="1" applyBorder="1" applyAlignment="1">
      <alignment horizontal="right" vertical="center"/>
    </xf>
    <xf numFmtId="166" fontId="6" fillId="0" borderId="0" xfId="0" applyNumberFormat="1" applyFont="1" applyBorder="1"/>
    <xf numFmtId="166" fontId="3" fillId="0" borderId="5" xfId="0" applyNumberFormat="1" applyFont="1" applyBorder="1"/>
    <xf numFmtId="166" fontId="2" fillId="0" borderId="5" xfId="0" applyNumberFormat="1" applyFont="1" applyBorder="1"/>
    <xf numFmtId="166" fontId="3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6" fillId="0" borderId="0" xfId="0" applyNumberFormat="1" applyFont="1"/>
    <xf numFmtId="166" fontId="2" fillId="0" borderId="3" xfId="0" applyNumberFormat="1" applyFont="1" applyBorder="1"/>
    <xf numFmtId="166" fontId="3" fillId="0" borderId="0" xfId="0" applyNumberFormat="1" applyFont="1"/>
    <xf numFmtId="166" fontId="6" fillId="8" borderId="0" xfId="0" applyNumberFormat="1" applyFont="1" applyFill="1" applyBorder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9" fontId="3" fillId="0" borderId="2" xfId="2" applyNumberFormat="1" applyFont="1" applyFill="1" applyBorder="1" applyAlignment="1">
      <alignment horizontal="right" vertical="center"/>
    </xf>
    <xf numFmtId="166" fontId="6" fillId="0" borderId="1" xfId="0" applyNumberFormat="1" applyFont="1" applyBorder="1"/>
    <xf numFmtId="166" fontId="3" fillId="0" borderId="3" xfId="0" applyNumberFormat="1" applyFont="1" applyBorder="1"/>
    <xf numFmtId="0" fontId="19" fillId="0" borderId="0" xfId="0" applyFont="1"/>
    <xf numFmtId="0" fontId="19" fillId="0" borderId="3" xfId="0" applyFont="1" applyBorder="1" applyAlignment="1">
      <alignment horizontal="left" indent="1"/>
    </xf>
    <xf numFmtId="0" fontId="19" fillId="0" borderId="3" xfId="0" applyFont="1" applyBorder="1"/>
    <xf numFmtId="169" fontId="20" fillId="0" borderId="3" xfId="2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1" fillId="0" borderId="0" xfId="0" applyFont="1" applyAlignment="1">
      <alignment horizontal="left" indent="1"/>
    </xf>
    <xf numFmtId="169" fontId="20" fillId="0" borderId="3" xfId="2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centerContinuous" vertical="center"/>
    </xf>
    <xf numFmtId="166" fontId="6" fillId="0" borderId="0" xfId="2" applyNumberFormat="1" applyFont="1" applyFill="1" applyBorder="1" applyAlignment="1">
      <alignment horizontal="centerContinuous" vertical="center"/>
    </xf>
    <xf numFmtId="166" fontId="6" fillId="0" borderId="0" xfId="2" applyNumberFormat="1" applyFont="1" applyBorder="1" applyAlignment="1">
      <alignment horizontal="centerContinuous" vertical="center"/>
    </xf>
    <xf numFmtId="166" fontId="4" fillId="2" borderId="0" xfId="0" applyNumberFormat="1" applyFont="1" applyFill="1"/>
    <xf numFmtId="175" fontId="6" fillId="0" borderId="0" xfId="0" applyNumberFormat="1" applyFont="1" applyAlignment="1">
      <alignment horizontal="right" vertical="center"/>
    </xf>
    <xf numFmtId="175" fontId="6" fillId="0" borderId="0" xfId="4" applyNumberFormat="1" applyFont="1" applyFill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6" fontId="21" fillId="0" borderId="1" xfId="0" applyNumberFormat="1" applyFont="1" applyBorder="1"/>
    <xf numFmtId="0" fontId="23" fillId="0" borderId="1" xfId="0" applyFont="1" applyBorder="1" applyAlignment="1">
      <alignment horizontal="left" indent="1"/>
    </xf>
    <xf numFmtId="166" fontId="21" fillId="0" borderId="0" xfId="0" applyNumberFormat="1" applyFont="1"/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left" indent="1"/>
    </xf>
    <xf numFmtId="166" fontId="24" fillId="0" borderId="0" xfId="0" applyNumberFormat="1" applyFont="1" applyAlignment="1">
      <alignment horizontal="right" vertical="center"/>
    </xf>
    <xf numFmtId="166" fontId="24" fillId="0" borderId="0" xfId="1" applyNumberFormat="1" applyFont="1" applyAlignment="1">
      <alignment horizontal="right" vertic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166" fontId="19" fillId="0" borderId="5" xfId="0" applyNumberFormat="1" applyFont="1" applyBorder="1"/>
    <xf numFmtId="166" fontId="20" fillId="0" borderId="5" xfId="0" applyNumberFormat="1" applyFont="1" applyBorder="1"/>
    <xf numFmtId="166" fontId="22" fillId="0" borderId="0" xfId="1" applyNumberFormat="1" applyFont="1" applyAlignment="1">
      <alignment horizontal="right" vertical="center"/>
    </xf>
    <xf numFmtId="166" fontId="21" fillId="3" borderId="0" xfId="0" applyNumberFormat="1" applyFont="1" applyFill="1"/>
    <xf numFmtId="14" fontId="21" fillId="0" borderId="0" xfId="0" applyNumberFormat="1" applyFont="1"/>
    <xf numFmtId="14" fontId="21" fillId="7" borderId="0" xfId="0" applyNumberFormat="1" applyFont="1" applyFill="1"/>
    <xf numFmtId="3" fontId="21" fillId="0" borderId="0" xfId="0" applyNumberFormat="1" applyFont="1" applyFill="1" applyAlignment="1">
      <alignment horizontal="left" indent="1"/>
    </xf>
    <xf numFmtId="0" fontId="21" fillId="0" borderId="0" xfId="0" quotePrefix="1" applyFont="1"/>
    <xf numFmtId="168" fontId="21" fillId="0" borderId="0" xfId="1" applyNumberFormat="1" applyFont="1"/>
    <xf numFmtId="166" fontId="25" fillId="11" borderId="0" xfId="0" applyNumberFormat="1" applyFont="1" applyFill="1" applyAlignment="1">
      <alignment horizontal="right" vertical="center"/>
    </xf>
    <xf numFmtId="166" fontId="25" fillId="11" borderId="0" xfId="0" applyNumberFormat="1" applyFont="1" applyFill="1" applyBorder="1" applyAlignment="1">
      <alignment horizontal="right" vertical="center"/>
    </xf>
    <xf numFmtId="0" fontId="4" fillId="12" borderId="0" xfId="0" applyFont="1" applyFill="1"/>
    <xf numFmtId="0" fontId="12" fillId="0" borderId="3" xfId="0" applyFont="1" applyBorder="1" applyAlignment="1">
      <alignment horizontal="center"/>
    </xf>
    <xf numFmtId="166" fontId="12" fillId="0" borderId="3" xfId="0" applyNumberFormat="1" applyFont="1" applyBorder="1"/>
    <xf numFmtId="165" fontId="13" fillId="0" borderId="0" xfId="0" applyNumberFormat="1" applyFont="1"/>
    <xf numFmtId="0" fontId="2" fillId="0" borderId="0" xfId="0" applyFont="1" applyAlignment="1" applyProtection="1">
      <alignment horizontal="center" wrapText="1"/>
    </xf>
    <xf numFmtId="10" fontId="21" fillId="0" borderId="0" xfId="0" applyNumberFormat="1" applyFont="1"/>
    <xf numFmtId="0" fontId="2" fillId="6" borderId="0" xfId="0" applyFont="1" applyFill="1"/>
    <xf numFmtId="2" fontId="5" fillId="0" borderId="0" xfId="0" applyNumberFormat="1" applyFont="1" applyBorder="1" applyAlignment="1">
      <alignment horizontal="right" vertical="center"/>
    </xf>
    <xf numFmtId="2" fontId="5" fillId="0" borderId="0" xfId="0" applyNumberFormat="1" applyFont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2" fillId="12" borderId="0" xfId="0" applyFont="1" applyFill="1" applyAlignment="1">
      <alignment horizontal="left" indent="1"/>
    </xf>
    <xf numFmtId="0" fontId="2" fillId="12" borderId="0" xfId="0" applyFont="1" applyFill="1" applyAlignment="1">
      <alignment horizontal="center"/>
    </xf>
    <xf numFmtId="10" fontId="3" fillId="12" borderId="0" xfId="2" applyNumberFormat="1" applyFont="1" applyFill="1" applyBorder="1" applyAlignment="1">
      <alignment horizontal="right"/>
    </xf>
    <xf numFmtId="164" fontId="4" fillId="0" borderId="0" xfId="1" applyFont="1"/>
    <xf numFmtId="164" fontId="2" fillId="0" borderId="3" xfId="1" applyFont="1" applyBorder="1"/>
    <xf numFmtId="169" fontId="5" fillId="0" borderId="0" xfId="2" applyNumberFormat="1" applyFont="1" applyBorder="1"/>
    <xf numFmtId="10" fontId="2" fillId="12" borderId="0" xfId="0" applyNumberFormat="1" applyFont="1" applyFill="1"/>
    <xf numFmtId="164" fontId="2" fillId="0" borderId="3" xfId="1" applyNumberFormat="1" applyFont="1" applyBorder="1"/>
    <xf numFmtId="176" fontId="6" fillId="0" borderId="0" xfId="0" applyNumberFormat="1" applyFont="1"/>
    <xf numFmtId="0" fontId="2" fillId="0" borderId="0" xfId="0" applyFont="1" applyAlignment="1">
      <alignment horizontal="center"/>
    </xf>
    <xf numFmtId="177" fontId="21" fillId="0" borderId="0" xfId="1" applyNumberFormat="1" applyFont="1"/>
    <xf numFmtId="169" fontId="6" fillId="0" borderId="0" xfId="2" applyNumberFormat="1" applyFont="1" applyFill="1" applyAlignment="1">
      <alignment horizontal="right" vertical="center"/>
    </xf>
    <xf numFmtId="169" fontId="11" fillId="0" borderId="0" xfId="2" applyNumberFormat="1" applyFont="1"/>
    <xf numFmtId="0" fontId="4" fillId="12" borderId="5" xfId="0" applyFont="1" applyFill="1" applyBorder="1" applyAlignment="1">
      <alignment horizontal="left" indent="1"/>
    </xf>
    <xf numFmtId="0" fontId="4" fillId="12" borderId="5" xfId="0" applyFont="1" applyFill="1" applyBorder="1" applyAlignment="1">
      <alignment horizontal="center"/>
    </xf>
    <xf numFmtId="169" fontId="3" fillId="12" borderId="5" xfId="2" applyNumberFormat="1" applyFont="1" applyFill="1" applyBorder="1" applyAlignment="1">
      <alignment horizontal="right"/>
    </xf>
    <xf numFmtId="0" fontId="4" fillId="12" borderId="5" xfId="0" applyFont="1" applyFill="1" applyBorder="1"/>
    <xf numFmtId="10" fontId="3" fillId="12" borderId="5" xfId="2" applyNumberFormat="1" applyFont="1" applyFill="1" applyBorder="1" applyAlignment="1">
      <alignment horizontal="right"/>
    </xf>
    <xf numFmtId="169" fontId="4" fillId="0" borderId="0" xfId="2" applyNumberFormat="1" applyFont="1" applyAlignment="1">
      <alignment horizontal="center"/>
    </xf>
    <xf numFmtId="166" fontId="5" fillId="0" borderId="0" xfId="0" applyNumberFormat="1" applyFont="1"/>
    <xf numFmtId="0" fontId="4" fillId="12" borderId="0" xfId="0" applyFont="1" applyFill="1" applyAlignment="1">
      <alignment horizontal="center"/>
    </xf>
    <xf numFmtId="166" fontId="6" fillId="12" borderId="0" xfId="0" applyNumberFormat="1" applyFont="1" applyFill="1" applyAlignment="1" applyProtection="1">
      <alignment horizontal="right" vertical="center"/>
    </xf>
    <xf numFmtId="166" fontId="5" fillId="12" borderId="0" xfId="0" applyNumberFormat="1" applyFont="1" applyFill="1" applyAlignment="1" applyProtection="1">
      <alignment horizontal="right" vertical="center"/>
    </xf>
    <xf numFmtId="0" fontId="2" fillId="6" borderId="0" xfId="0" applyFont="1" applyFill="1" applyAlignment="1">
      <alignment horizontal="center"/>
    </xf>
    <xf numFmtId="166" fontId="3" fillId="6" borderId="0" xfId="0" applyNumberFormat="1" applyFont="1" applyFill="1" applyAlignment="1" applyProtection="1">
      <alignment horizontal="right" vertical="center"/>
    </xf>
    <xf numFmtId="166" fontId="2" fillId="6" borderId="0" xfId="0" applyNumberFormat="1" applyFont="1" applyFill="1"/>
    <xf numFmtId="9" fontId="21" fillId="0" borderId="0" xfId="2" applyFont="1"/>
    <xf numFmtId="10" fontId="21" fillId="0" borderId="0" xfId="2" applyNumberFormat="1" applyFont="1"/>
    <xf numFmtId="164" fontId="2" fillId="0" borderId="0" xfId="1" applyFont="1"/>
    <xf numFmtId="9" fontId="4" fillId="12" borderId="0" xfId="2" applyFont="1" applyFill="1"/>
    <xf numFmtId="166" fontId="5" fillId="12" borderId="0" xfId="0" applyNumberFormat="1" applyFont="1" applyFill="1"/>
    <xf numFmtId="169" fontId="6" fillId="0" borderId="0" xfId="2" applyNumberFormat="1" applyFont="1" applyAlignment="1" applyProtection="1">
      <alignment horizontal="right" vertical="center"/>
    </xf>
    <xf numFmtId="169" fontId="5" fillId="12" borderId="0" xfId="2" applyNumberFormat="1" applyFont="1" applyFill="1"/>
    <xf numFmtId="166" fontId="10" fillId="0" borderId="0" xfId="0" applyNumberFormat="1" applyFont="1"/>
    <xf numFmtId="166" fontId="6" fillId="12" borderId="0" xfId="0" applyNumberFormat="1" applyFont="1" applyFill="1"/>
    <xf numFmtId="0" fontId="4" fillId="12" borderId="0" xfId="0" applyFont="1" applyFill="1" applyAlignment="1">
      <alignment horizontal="left" vertical="center" indent="1"/>
    </xf>
    <xf numFmtId="166" fontId="6" fillId="12" borderId="0" xfId="0" applyNumberFormat="1" applyFont="1" applyFill="1" applyAlignment="1">
      <alignment horizontal="right" vertical="center"/>
    </xf>
    <xf numFmtId="178" fontId="6" fillId="0" borderId="0" xfId="1" applyNumberFormat="1" applyFont="1"/>
    <xf numFmtId="170" fontId="0" fillId="0" borderId="0" xfId="0" applyNumberFormat="1" applyFont="1"/>
    <xf numFmtId="170" fontId="11" fillId="0" borderId="0" xfId="0" applyNumberFormat="1" applyFont="1"/>
    <xf numFmtId="0" fontId="18" fillId="2" borderId="0" xfId="0" applyFont="1" applyFill="1" applyAlignment="1">
      <alignment horizontal="center"/>
    </xf>
    <xf numFmtId="0" fontId="2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/>
    </xf>
    <xf numFmtId="10" fontId="2" fillId="8" borderId="5" xfId="0" applyNumberFormat="1" applyFont="1" applyFill="1" applyBorder="1" applyAlignment="1">
      <alignment vertical="center"/>
    </xf>
    <xf numFmtId="9" fontId="11" fillId="0" borderId="0" xfId="2" applyFont="1" applyAlignment="1">
      <alignment horizontal="right"/>
    </xf>
    <xf numFmtId="0" fontId="11" fillId="0" borderId="0" xfId="0" applyFont="1" applyAlignment="1">
      <alignment horizontal="left" indent="1"/>
    </xf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12" fillId="12" borderId="0" xfId="0" applyFont="1" applyFill="1" applyAlignment="1">
      <alignment horizontal="left" indent="1"/>
    </xf>
    <xf numFmtId="0" fontId="12" fillId="0" borderId="0" xfId="0" applyFont="1" applyAlignment="1">
      <alignment horizontal="left" indent="1"/>
    </xf>
    <xf numFmtId="169" fontId="12" fillId="0" borderId="0" xfId="0" applyNumberFormat="1" applyFont="1" applyAlignment="1">
      <alignment horizontal="right"/>
    </xf>
    <xf numFmtId="9" fontId="11" fillId="0" borderId="0" xfId="2" applyFont="1" applyFill="1" applyAlignment="1">
      <alignment horizontal="right"/>
    </xf>
    <xf numFmtId="9" fontId="13" fillId="0" borderId="0" xfId="2" applyFont="1" applyFill="1" applyAlignment="1">
      <alignment horizontal="right"/>
    </xf>
    <xf numFmtId="9" fontId="14" fillId="0" borderId="0" xfId="2" applyFont="1" applyFill="1" applyAlignment="1">
      <alignment horizontal="right"/>
    </xf>
    <xf numFmtId="9" fontId="15" fillId="12" borderId="0" xfId="2" applyFont="1" applyFill="1" applyAlignment="1">
      <alignment horizontal="right"/>
    </xf>
    <xf numFmtId="169" fontId="15" fillId="12" borderId="0" xfId="2" applyNumberFormat="1" applyFont="1" applyFill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9" fontId="14" fillId="0" borderId="10" xfId="2" applyFont="1" applyFill="1" applyBorder="1" applyAlignment="1">
      <alignment horizontal="right"/>
    </xf>
    <xf numFmtId="169" fontId="13" fillId="0" borderId="10" xfId="2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169" fontId="12" fillId="12" borderId="0" xfId="0" applyNumberFormat="1" applyFont="1" applyFill="1" applyAlignment="1">
      <alignment horizontal="right"/>
    </xf>
    <xf numFmtId="0" fontId="13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/>
    <xf numFmtId="166" fontId="14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0" fontId="15" fillId="3" borderId="0" xfId="0" applyFont="1" applyFill="1"/>
    <xf numFmtId="0" fontId="18" fillId="3" borderId="0" xfId="0" applyFont="1" applyFill="1" applyAlignment="1">
      <alignment horizontal="center"/>
    </xf>
    <xf numFmtId="166" fontId="18" fillId="3" borderId="0" xfId="0" applyNumberFormat="1" applyFont="1" applyFill="1"/>
    <xf numFmtId="166" fontId="18" fillId="3" borderId="0" xfId="0" applyNumberFormat="1" applyFont="1" applyFill="1" applyAlignment="1">
      <alignment horizontal="center"/>
    </xf>
    <xf numFmtId="169" fontId="26" fillId="12" borderId="0" xfId="0" applyNumberFormat="1" applyFont="1" applyFill="1" applyAlignment="1">
      <alignment horizontal="right"/>
    </xf>
    <xf numFmtId="0" fontId="27" fillId="2" borderId="0" xfId="0" applyFont="1" applyFill="1"/>
    <xf numFmtId="17" fontId="18" fillId="2" borderId="0" xfId="0" applyNumberFormat="1" applyFont="1" applyFill="1" applyAlignment="1">
      <alignment horizontal="center"/>
    </xf>
    <xf numFmtId="166" fontId="14" fillId="0" borderId="0" xfId="3" applyNumberFormat="1" applyFont="1" applyAlignment="1">
      <alignment horizontal="right" vertical="center"/>
    </xf>
    <xf numFmtId="0" fontId="12" fillId="10" borderId="0" xfId="0" applyFont="1" applyFill="1"/>
    <xf numFmtId="166" fontId="26" fillId="10" borderId="0" xfId="3" applyNumberFormat="1" applyFont="1" applyFill="1" applyAlignment="1">
      <alignment horizontal="right" vertical="center"/>
    </xf>
    <xf numFmtId="0" fontId="12" fillId="10" borderId="0" xfId="0" applyFont="1" applyFill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9" fontId="14" fillId="0" borderId="0" xfId="2" applyNumberFormat="1" applyFont="1" applyFill="1" applyAlignment="1">
      <alignment horizontal="right" vertical="center"/>
    </xf>
    <xf numFmtId="169" fontId="11" fillId="0" borderId="0" xfId="2" applyNumberFormat="1" applyFont="1" applyAlignment="1">
      <alignment horizontal="center"/>
    </xf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169" fontId="13" fillId="12" borderId="0" xfId="2" applyNumberFormat="1" applyFont="1" applyFill="1" applyAlignment="1">
      <alignment horizontal="right" vertical="center"/>
    </xf>
    <xf numFmtId="0" fontId="18" fillId="2" borderId="11" xfId="0" applyFont="1" applyFill="1" applyBorder="1"/>
    <xf numFmtId="0" fontId="18" fillId="2" borderId="12" xfId="0" applyFont="1" applyFill="1" applyBorder="1"/>
    <xf numFmtId="0" fontId="27" fillId="2" borderId="12" xfId="0" applyFont="1" applyFill="1" applyBorder="1"/>
    <xf numFmtId="166" fontId="27" fillId="2" borderId="12" xfId="3" applyNumberFormat="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/>
    <xf numFmtId="0" fontId="12" fillId="0" borderId="14" xfId="0" applyFont="1" applyBorder="1"/>
    <xf numFmtId="179" fontId="11" fillId="0" borderId="15" xfId="2" applyNumberFormat="1" applyFont="1" applyFill="1" applyBorder="1"/>
    <xf numFmtId="10" fontId="11" fillId="0" borderId="0" xfId="2" applyNumberFormat="1" applyFont="1" applyFill="1" applyBorder="1"/>
    <xf numFmtId="10" fontId="11" fillId="0" borderId="15" xfId="2" applyNumberFormat="1" applyFont="1" applyFill="1" applyBorder="1"/>
    <xf numFmtId="0" fontId="12" fillId="0" borderId="16" xfId="0" applyFont="1" applyBorder="1"/>
    <xf numFmtId="0" fontId="12" fillId="0" borderId="17" xfId="0" applyFont="1" applyBorder="1"/>
    <xf numFmtId="0" fontId="11" fillId="0" borderId="17" xfId="0" applyFont="1" applyBorder="1"/>
    <xf numFmtId="166" fontId="14" fillId="0" borderId="17" xfId="3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/>
    <xf numFmtId="166" fontId="14" fillId="12" borderId="0" xfId="3" applyNumberFormat="1" applyFont="1" applyFill="1" applyAlignment="1">
      <alignment horizontal="right" vertical="center"/>
    </xf>
    <xf numFmtId="10" fontId="11" fillId="12" borderId="0" xfId="2" applyNumberFormat="1" applyFont="1" applyFill="1" applyBorder="1" applyAlignment="1">
      <alignment horizontal="center"/>
    </xf>
    <xf numFmtId="166" fontId="13" fillId="0" borderId="0" xfId="3" applyNumberFormat="1" applyFont="1" applyAlignment="1">
      <alignment horizontal="right" vertical="center"/>
    </xf>
    <xf numFmtId="166" fontId="11" fillId="0" borderId="0" xfId="0" applyNumberFormat="1" applyFont="1" applyAlignment="1">
      <alignment horizontal="center"/>
    </xf>
    <xf numFmtId="166" fontId="14" fillId="0" borderId="1" xfId="3" applyNumberFormat="1" applyFont="1" applyBorder="1" applyAlignment="1">
      <alignment horizontal="right" vertical="center"/>
    </xf>
    <xf numFmtId="166" fontId="12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1" fillId="12" borderId="0" xfId="0" applyFont="1" applyFill="1" applyAlignment="1">
      <alignment horizontal="left" indent="1"/>
    </xf>
    <xf numFmtId="0" fontId="18" fillId="13" borderId="0" xfId="0" applyFont="1" applyFill="1"/>
    <xf numFmtId="10" fontId="11" fillId="12" borderId="0" xfId="0" applyNumberFormat="1" applyFont="1" applyFill="1"/>
    <xf numFmtId="166" fontId="11" fillId="12" borderId="0" xfId="0" applyNumberFormat="1" applyFont="1" applyFill="1"/>
    <xf numFmtId="10" fontId="11" fillId="12" borderId="0" xfId="2" applyNumberFormat="1" applyFont="1" applyFill="1"/>
    <xf numFmtId="169" fontId="11" fillId="0" borderId="0" xfId="2" applyNumberFormat="1" applyFont="1" applyBorder="1"/>
    <xf numFmtId="169" fontId="11" fillId="0" borderId="0" xfId="0" applyNumberFormat="1" applyFont="1"/>
    <xf numFmtId="0" fontId="11" fillId="12" borderId="14" xfId="0" applyFont="1" applyFill="1" applyBorder="1"/>
    <xf numFmtId="169" fontId="11" fillId="12" borderId="0" xfId="0" applyNumberFormat="1" applyFont="1" applyFill="1"/>
    <xf numFmtId="169" fontId="11" fillId="12" borderId="15" xfId="0" applyNumberFormat="1" applyFont="1" applyFill="1" applyBorder="1"/>
    <xf numFmtId="0" fontId="11" fillId="12" borderId="16" xfId="0" applyFont="1" applyFill="1" applyBorder="1"/>
    <xf numFmtId="0" fontId="12" fillId="12" borderId="5" xfId="0" applyFont="1" applyFill="1" applyBorder="1"/>
    <xf numFmtId="10" fontId="12" fillId="6" borderId="5" xfId="0" applyNumberFormat="1" applyFont="1" applyFill="1" applyBorder="1"/>
    <xf numFmtId="169" fontId="12" fillId="12" borderId="5" xfId="0" applyNumberFormat="1" applyFont="1" applyFill="1" applyBorder="1"/>
    <xf numFmtId="169" fontId="12" fillId="12" borderId="19" xfId="0" applyNumberFormat="1" applyFont="1" applyFill="1" applyBorder="1"/>
    <xf numFmtId="169" fontId="14" fillId="12" borderId="0" xfId="2" applyNumberFormat="1" applyFont="1" applyFill="1" applyBorder="1"/>
    <xf numFmtId="0" fontId="11" fillId="2" borderId="0" xfId="5" applyFont="1" applyFill="1"/>
    <xf numFmtId="0" fontId="11" fillId="0" borderId="0" xfId="5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/>
    </xf>
    <xf numFmtId="0" fontId="2" fillId="0" borderId="0" xfId="5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17" fontId="7" fillId="2" borderId="0" xfId="5" applyNumberFormat="1" applyFont="1" applyFill="1" applyAlignment="1">
      <alignment vertical="center"/>
    </xf>
    <xf numFmtId="0" fontId="27" fillId="2" borderId="0" xfId="5" applyFont="1" applyFill="1"/>
    <xf numFmtId="0" fontId="3" fillId="0" borderId="0" xfId="0" applyFont="1" applyAlignment="1">
      <alignment horizontal="center" vertical="center"/>
    </xf>
    <xf numFmtId="0" fontId="4" fillId="0" borderId="0" xfId="5" applyFont="1"/>
    <xf numFmtId="0" fontId="4" fillId="14" borderId="0" xfId="0" applyFont="1" applyFill="1" applyAlignment="1">
      <alignment horizontal="left" vertical="center" wrapText="1" indent="1"/>
    </xf>
    <xf numFmtId="0" fontId="3" fillId="0" borderId="1" xfId="5" applyFont="1" applyBorder="1"/>
    <xf numFmtId="0" fontId="6" fillId="0" borderId="1" xfId="5" applyFont="1" applyBorder="1"/>
    <xf numFmtId="0" fontId="29" fillId="14" borderId="0" xfId="6" applyFill="1" applyBorder="1" applyAlignment="1" applyProtection="1">
      <alignment horizontal="left" vertical="center" wrapText="1" indent="1"/>
    </xf>
    <xf numFmtId="0" fontId="30" fillId="0" borderId="0" xfId="0" applyFont="1"/>
    <xf numFmtId="0" fontId="30" fillId="1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30" fillId="0" borderId="0" xfId="5" applyFont="1" applyAlignment="1">
      <alignment vertical="center"/>
    </xf>
    <xf numFmtId="0" fontId="2" fillId="14" borderId="0" xfId="0" applyFont="1" applyFill="1" applyAlignment="1">
      <alignment vertical="center" wrapText="1"/>
    </xf>
    <xf numFmtId="0" fontId="4" fillId="0" borderId="0" xfId="5" applyFont="1" applyAlignment="1">
      <alignment vertical="center"/>
    </xf>
    <xf numFmtId="0" fontId="4" fillId="14" borderId="0" xfId="0" applyFont="1" applyFill="1" applyAlignment="1">
      <alignment horizontal="left" vertical="center" wrapText="1"/>
    </xf>
    <xf numFmtId="0" fontId="32" fillId="0" borderId="0" xfId="5" applyFont="1" applyAlignment="1">
      <alignment vertical="center" wrapText="1"/>
    </xf>
    <xf numFmtId="0" fontId="32" fillId="14" borderId="0" xfId="0" applyFont="1" applyFill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" fontId="30" fillId="0" borderId="0" xfId="0" applyNumberFormat="1" applyFont="1" applyAlignment="1">
      <alignment horizontal="left" indent="1"/>
    </xf>
    <xf numFmtId="0" fontId="31" fillId="0" borderId="0" xfId="0" applyFont="1"/>
    <xf numFmtId="0" fontId="30" fillId="0" borderId="0" xfId="0" applyFont="1" applyAlignment="1">
      <alignment horizontal="center"/>
    </xf>
    <xf numFmtId="3" fontId="31" fillId="0" borderId="3" xfId="0" applyNumberFormat="1" applyFont="1" applyBorder="1" applyAlignment="1">
      <alignment horizontal="left" indent="1"/>
    </xf>
    <xf numFmtId="0" fontId="31" fillId="0" borderId="3" xfId="0" applyFont="1" applyBorder="1" applyAlignment="1">
      <alignment horizontal="center"/>
    </xf>
    <xf numFmtId="166" fontId="31" fillId="0" borderId="3" xfId="0" applyNumberFormat="1" applyFont="1" applyBorder="1"/>
    <xf numFmtId="0" fontId="2" fillId="14" borderId="0" xfId="0" applyFont="1" applyFill="1" applyAlignment="1">
      <alignment horizontal="left" vertical="center" wrapText="1" indent="1"/>
    </xf>
    <xf numFmtId="175" fontId="31" fillId="0" borderId="3" xfId="0" applyNumberFormat="1" applyFont="1" applyBorder="1"/>
    <xf numFmtId="166" fontId="30" fillId="0" borderId="0" xfId="0" applyNumberFormat="1" applyFont="1"/>
    <xf numFmtId="14" fontId="30" fillId="7" borderId="0" xfId="0" applyNumberFormat="1" applyFont="1" applyFill="1"/>
    <xf numFmtId="14" fontId="30" fillId="0" borderId="0" xfId="0" applyNumberFormat="1" applyFont="1"/>
    <xf numFmtId="168" fontId="21" fillId="0" borderId="0" xfId="0" applyNumberFormat="1" applyFont="1"/>
    <xf numFmtId="9" fontId="33" fillId="0" borderId="0" xfId="2" applyFont="1" applyAlignment="1">
      <alignment horizontal="right"/>
    </xf>
    <xf numFmtId="0" fontId="2" fillId="0" borderId="3" xfId="0" applyFont="1" applyBorder="1" applyAlignment="1">
      <alignment horizontal="left" indent="1"/>
    </xf>
    <xf numFmtId="2" fontId="3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73" fontId="6" fillId="0" borderId="0" xfId="0" applyNumberFormat="1" applyFont="1" applyFill="1" applyBorder="1"/>
    <xf numFmtId="0" fontId="17" fillId="12" borderId="0" xfId="0" applyFont="1" applyFill="1"/>
    <xf numFmtId="0" fontId="18" fillId="2" borderId="0" xfId="0" applyFont="1" applyFill="1"/>
    <xf numFmtId="166" fontId="18" fillId="2" borderId="0" xfId="0" applyNumberFormat="1" applyFont="1" applyFill="1"/>
    <xf numFmtId="166" fontId="18" fillId="2" borderId="0" xfId="0" applyNumberFormat="1" applyFont="1" applyFill="1" applyAlignment="1">
      <alignment horizontal="center"/>
    </xf>
    <xf numFmtId="0" fontId="8" fillId="2" borderId="0" xfId="0" applyFont="1" applyFill="1"/>
    <xf numFmtId="0" fontId="15" fillId="5" borderId="0" xfId="0" applyFont="1" applyFill="1"/>
    <xf numFmtId="0" fontId="18" fillId="5" borderId="0" xfId="0" applyFont="1" applyFill="1" applyAlignment="1">
      <alignment horizontal="center"/>
    </xf>
    <xf numFmtId="166" fontId="18" fillId="5" borderId="0" xfId="0" applyNumberFormat="1" applyFont="1" applyFill="1"/>
    <xf numFmtId="166" fontId="18" fillId="5" borderId="0" xfId="0" applyNumberFormat="1" applyFont="1" applyFill="1" applyAlignment="1">
      <alignment horizontal="center"/>
    </xf>
    <xf numFmtId="165" fontId="14" fillId="0" borderId="0" xfId="0" applyNumberFormat="1" applyFont="1" applyBorder="1"/>
    <xf numFmtId="165" fontId="14" fillId="0" borderId="0" xfId="0" applyNumberFormat="1" applyFont="1" applyBorder="1" applyAlignment="1">
      <alignment horizontal="right" vertical="center"/>
    </xf>
    <xf numFmtId="168" fontId="14" fillId="0" borderId="0" xfId="1" applyNumberFormat="1" applyFont="1"/>
    <xf numFmtId="0" fontId="1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1"/>
    </xf>
    <xf numFmtId="169" fontId="18" fillId="2" borderId="0" xfId="0" applyNumberFormat="1" applyFont="1" applyFill="1" applyAlignment="1">
      <alignment horizontal="right"/>
    </xf>
    <xf numFmtId="10" fontId="34" fillId="2" borderId="5" xfId="0" applyNumberFormat="1" applyFont="1" applyFill="1" applyBorder="1" applyAlignment="1">
      <alignment vertical="center"/>
    </xf>
    <xf numFmtId="0" fontId="32" fillId="14" borderId="0" xfId="0" applyFont="1" applyFill="1" applyAlignment="1">
      <alignment horizontal="left" vertical="center" wrapText="1"/>
    </xf>
    <xf numFmtId="0" fontId="30" fillId="12" borderId="0" xfId="0" applyFont="1" applyFill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0" fontId="30" fillId="14" borderId="0" xfId="0" applyFont="1" applyFill="1" applyAlignment="1">
      <alignment horizontal="left" vertical="center" wrapText="1"/>
    </xf>
    <xf numFmtId="0" fontId="32" fillId="0" borderId="0" xfId="5" applyFont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8" fillId="3" borderId="0" xfId="5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</cellXfs>
  <cellStyles count="7">
    <cellStyle name="Comma" xfId="1" builtinId="3"/>
    <cellStyle name="Hyperlink" xfId="6" builtinId="8"/>
    <cellStyle name="Millares 2" xfId="4" xr:uid="{791F7FDB-D749-41CB-BA47-0350F4352549}"/>
    <cellStyle name="Normal" xfId="0" builtinId="0"/>
    <cellStyle name="Normal 2 10" xfId="3" xr:uid="{42E89451-A0AB-41B7-8A89-C89AC4C160D9}"/>
    <cellStyle name="Normal 3 2 2 2" xfId="5" xr:uid="{EFB15D9D-6C24-4949-93ED-971D3F444F25}"/>
    <cellStyle name="Percent" xfId="2" builtinId="5"/>
  </cellStyles>
  <dxfs count="0"/>
  <tableStyles count="0" defaultTableStyle="TableStyleMedium2" defaultPivotStyle="PivotStyleLight16"/>
  <colors>
    <mruColors>
      <color rgb="FF0000FF"/>
      <color rgb="FFFED5CE"/>
      <color rgb="FF1771A9"/>
      <color rgb="FFC6EDFE"/>
      <color rgb="FF016CA1"/>
      <color rgb="FF006F96"/>
      <color rgb="FF007CA8"/>
      <color rgb="FF1679BC"/>
      <color rgb="FFA1E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1074083</xdr:colOff>
      <xdr:row>5</xdr:row>
      <xdr:rowOff>19050</xdr:rowOff>
    </xdr:from>
    <xdr:to>
      <xdr:col>3</xdr:col>
      <xdr:colOff>2815548</xdr:colOff>
      <xdr:row>12</xdr:row>
      <xdr:rowOff>102949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A168F0B-9DAF-44A8-91CC-75381FD025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31533" y="1228725"/>
          <a:ext cx="1741465" cy="1350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283508</xdr:colOff>
      <xdr:row>13</xdr:row>
      <xdr:rowOff>47626</xdr:rowOff>
    </xdr:from>
    <xdr:to>
      <xdr:col>5</xdr:col>
      <xdr:colOff>63313</xdr:colOff>
      <xdr:row>15</xdr:row>
      <xdr:rowOff>155613</xdr:rowOff>
    </xdr:to>
    <xdr:pic>
      <xdr:nvPicPr>
        <xdr:cNvPr id="4" name="Picture 2" descr="APM Terminals Callao - Inicio | Facebook">
          <a:extLst>
            <a:ext uri="{FF2B5EF4-FFF2-40B4-BE49-F238E27FC236}">
              <a16:creationId xmlns:a16="http://schemas.microsoft.com/office/drawing/2014/main" id="{631344A6-03B2-4AFC-8FE3-ED548741F0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FF2B5EF4-FFF2-40B4-BE49-F238E27FC236}">
              <a16:creationId xmlns:lc="http://schemas.openxmlformats.org/drawingml/2006/lockedCanvas" xmlns="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a16="http://schemas.microsoft.com/office/drawing/2014/main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id="{4C91DD20-00DA-4C10-B4D9-AF94747DB30D}"/>
            </a:ext>
          </a:extLst>
        </a:blip>
        <a:srcRect t="34564" b="35714"/>
        <a:stretch>
          <a:fillRect/>
        </a:stretch>
      </xdr:blipFill>
      <xdr:spPr>
        <a:xfrm>
          <a:off x="6627158" y="2705101"/>
          <a:ext cx="1570505" cy="469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ratula">
  <a:themeElements>
    <a:clrScheme name="Colores Formato Rojo">
      <a:dk1>
        <a:sysClr val="windowText" lastClr="000000"/>
      </a:dk1>
      <a:lt1>
        <a:sysClr val="window" lastClr="FFFFFF"/>
      </a:lt1>
      <a:dk2>
        <a:srgbClr val="8499A5"/>
      </a:dk2>
      <a:lt2>
        <a:srgbClr val="D62100"/>
      </a:lt2>
      <a:accent1>
        <a:srgbClr val="661426"/>
      </a:accent1>
      <a:accent2>
        <a:srgbClr val="A32932"/>
      </a:accent2>
      <a:accent3>
        <a:srgbClr val="EF503F"/>
      </a:accent3>
      <a:accent4>
        <a:srgbClr val="FFA697"/>
      </a:accent4>
      <a:accent5>
        <a:srgbClr val="00709E"/>
      </a:accent5>
      <a:accent6>
        <a:srgbClr val="FABA48"/>
      </a:accent6>
      <a:hlink>
        <a:srgbClr val="0000FF"/>
      </a:hlink>
      <a:folHlink>
        <a:srgbClr val="800080"/>
      </a:folHlink>
    </a:clrScheme>
    <a:fontScheme name="Estilo A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a:spPr>
      <a:bodyPr lIns="72000" tIns="72000" rIns="72000" bIns="72000" rtlCol="0" anchor="ctr"/>
      <a:lstStyle>
        <a:defPPr>
          <a:spcAft>
            <a:spcPts val="1200"/>
          </a:spcAft>
          <a:buClr>
            <a:srgbClr val="C00000"/>
          </a:buClr>
          <a:defRPr sz="1100" dirty="0" err="1" smtClean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36000" rIns="72000" bIns="36000" rtlCol="0">
        <a:noAutofit/>
      </a:bodyPr>
      <a:lstStyle>
        <a:defPPr marL="171450" indent="-171450">
          <a:buClr>
            <a:srgbClr val="C00000"/>
          </a:buClr>
          <a:buFont typeface="Wingdings" panose="05000000000000000000" pitchFamily="2" charset="2"/>
          <a:buChar char="§"/>
          <a:defRPr sz="11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atula" id="{0EAE877E-3EC3-4358-A0D5-E43A16106407}" vid="{63B25D6B-E952-4847-8AE7-3AC2D0A8DCB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C5FE-51A0-4A1C-8B0E-952523CC96BA}">
  <dimension ref="A1:M45"/>
  <sheetViews>
    <sheetView showGridLines="0" view="pageBreakPreview" zoomScale="85" zoomScaleNormal="85" zoomScaleSheetLayoutView="85" workbookViewId="0">
      <selection activeCell="B9" sqref="B9:D9"/>
    </sheetView>
  </sheetViews>
  <sheetFormatPr defaultColWidth="10" defaultRowHeight="14" x14ac:dyDescent="0.3"/>
  <cols>
    <col min="1" max="1" width="2.5" style="4" customWidth="1"/>
    <col min="2" max="2" width="1.33203125" style="4" customWidth="1"/>
    <col min="3" max="3" width="28.33203125" style="4" customWidth="1"/>
    <col min="4" max="4" width="53.08203125" style="4" customWidth="1"/>
    <col min="5" max="5" width="23.5" style="4" customWidth="1"/>
    <col min="6" max="6" width="2.5" customWidth="1"/>
    <col min="7" max="7" width="2.08203125" customWidth="1"/>
    <col min="14" max="16384" width="10" style="4"/>
  </cols>
  <sheetData>
    <row r="1" spans="2:6" x14ac:dyDescent="0.3">
      <c r="B1" s="362"/>
      <c r="C1" s="362"/>
      <c r="D1" s="362"/>
      <c r="E1" s="362"/>
      <c r="F1" s="362"/>
    </row>
    <row r="2" spans="2:6" x14ac:dyDescent="0.3">
      <c r="B2" s="363"/>
      <c r="C2" s="363"/>
      <c r="D2" s="363"/>
      <c r="E2" s="363"/>
    </row>
    <row r="3" spans="2:6" ht="38.25" customHeight="1" x14ac:dyDescent="0.3">
      <c r="B3" s="436" t="s">
        <v>534</v>
      </c>
      <c r="C3" s="436"/>
      <c r="D3" s="436"/>
      <c r="E3" s="436"/>
      <c r="F3" s="436"/>
    </row>
    <row r="5" spans="2:6" x14ac:dyDescent="0.3">
      <c r="B5" s="7"/>
      <c r="C5" s="7"/>
      <c r="D5" s="7"/>
      <c r="E5" s="7"/>
    </row>
    <row r="6" spans="2:6" x14ac:dyDescent="0.3">
      <c r="B6" s="243"/>
      <c r="C6" s="243"/>
      <c r="D6" s="243"/>
      <c r="E6" s="243"/>
    </row>
    <row r="7" spans="2:6" x14ac:dyDescent="0.3">
      <c r="B7" s="433"/>
      <c r="C7" s="433"/>
      <c r="D7" s="433"/>
      <c r="E7" s="7"/>
    </row>
    <row r="9" spans="2:6" x14ac:dyDescent="0.3">
      <c r="B9" s="434"/>
      <c r="C9" s="434"/>
      <c r="D9" s="434"/>
      <c r="E9" s="364"/>
    </row>
    <row r="10" spans="2:6" x14ac:dyDescent="0.3">
      <c r="B10" s="365"/>
      <c r="C10" s="365"/>
      <c r="D10" s="365"/>
      <c r="E10" s="365"/>
    </row>
    <row r="11" spans="2:6" x14ac:dyDescent="0.3">
      <c r="B11" s="366"/>
      <c r="D11" s="367"/>
      <c r="E11" s="367"/>
    </row>
    <row r="12" spans="2:6" x14ac:dyDescent="0.3">
      <c r="B12" s="366"/>
      <c r="D12" s="367"/>
      <c r="E12" s="367"/>
    </row>
    <row r="13" spans="2:6" x14ac:dyDescent="0.3">
      <c r="B13" s="366"/>
      <c r="D13" s="368"/>
      <c r="E13" s="368" t="s">
        <v>531</v>
      </c>
    </row>
    <row r="14" spans="2:6" x14ac:dyDescent="0.3">
      <c r="B14" s="366"/>
      <c r="D14" s="367"/>
      <c r="E14" s="367"/>
    </row>
    <row r="15" spans="2:6" x14ac:dyDescent="0.3">
      <c r="B15" s="367"/>
      <c r="C15" s="366"/>
      <c r="D15" s="367"/>
      <c r="E15" s="367"/>
    </row>
    <row r="16" spans="2:6" x14ac:dyDescent="0.3">
      <c r="B16" s="364"/>
      <c r="C16" s="364"/>
      <c r="D16" s="364"/>
      <c r="E16" s="369"/>
    </row>
    <row r="17" spans="1:8" x14ac:dyDescent="0.3">
      <c r="B17" s="435" t="s">
        <v>535</v>
      </c>
      <c r="C17" s="435"/>
      <c r="D17" s="435"/>
      <c r="E17" s="370"/>
    </row>
    <row r="18" spans="1:8" x14ac:dyDescent="0.3">
      <c r="B18" s="371" t="s">
        <v>592</v>
      </c>
      <c r="C18" s="372"/>
      <c r="D18" s="372"/>
      <c r="E18" s="372"/>
      <c r="F18" s="362"/>
    </row>
    <row r="19" spans="1:8" x14ac:dyDescent="0.3">
      <c r="B19" s="373"/>
      <c r="C19" s="374"/>
      <c r="D19" s="374"/>
      <c r="E19" s="374"/>
    </row>
    <row r="20" spans="1:8" x14ac:dyDescent="0.3">
      <c r="B20" s="375"/>
      <c r="C20" s="376" t="s">
        <v>532</v>
      </c>
      <c r="D20" s="376" t="s">
        <v>533</v>
      </c>
      <c r="E20" s="377"/>
    </row>
    <row r="21" spans="1:8" x14ac:dyDescent="0.3">
      <c r="B21" s="375"/>
      <c r="C21" s="375"/>
      <c r="D21" s="378"/>
    </row>
    <row r="22" spans="1:8" ht="28.5" customHeight="1" x14ac:dyDescent="0.3">
      <c r="A22" s="379"/>
      <c r="B22" s="380"/>
      <c r="C22" s="381" t="s">
        <v>536</v>
      </c>
      <c r="D22" s="428" t="s">
        <v>543</v>
      </c>
      <c r="E22" s="428"/>
      <c r="F22" s="428"/>
      <c r="G22" s="382"/>
      <c r="H22" s="382"/>
    </row>
    <row r="23" spans="1:8" ht="48.75" customHeight="1" x14ac:dyDescent="0.3">
      <c r="B23" s="375"/>
      <c r="C23" s="383" t="s">
        <v>537</v>
      </c>
      <c r="D23" s="429" t="s">
        <v>559</v>
      </c>
      <c r="E23" s="430"/>
      <c r="F23" s="430"/>
      <c r="G23" s="384"/>
      <c r="H23" s="384"/>
    </row>
    <row r="24" spans="1:8" ht="39" customHeight="1" x14ac:dyDescent="0.3">
      <c r="A24" s="379"/>
      <c r="B24" s="380"/>
      <c r="C24" s="381" t="s">
        <v>316</v>
      </c>
      <c r="D24" s="432" t="s">
        <v>560</v>
      </c>
      <c r="E24" s="428"/>
      <c r="F24" s="428"/>
      <c r="G24" s="382"/>
      <c r="H24" s="382"/>
    </row>
    <row r="25" spans="1:8" ht="27" customHeight="1" x14ac:dyDescent="0.3">
      <c r="C25" s="396" t="s">
        <v>563</v>
      </c>
      <c r="D25" s="429" t="s">
        <v>574</v>
      </c>
      <c r="E25" s="430"/>
      <c r="F25" s="430"/>
    </row>
    <row r="26" spans="1:8" ht="27" customHeight="1" x14ac:dyDescent="0.3">
      <c r="C26" s="396" t="s">
        <v>539</v>
      </c>
      <c r="D26" s="429" t="s">
        <v>552</v>
      </c>
      <c r="E26" s="430"/>
      <c r="F26" s="430"/>
    </row>
    <row r="27" spans="1:8" ht="27" customHeight="1" x14ac:dyDescent="0.3">
      <c r="C27" s="396" t="s">
        <v>540</v>
      </c>
      <c r="D27" s="429" t="s">
        <v>561</v>
      </c>
      <c r="E27" s="430"/>
      <c r="F27" s="430"/>
    </row>
    <row r="28" spans="1:8" ht="27" customHeight="1" x14ac:dyDescent="0.3">
      <c r="C28" s="396" t="s">
        <v>130</v>
      </c>
      <c r="D28" s="429" t="s">
        <v>578</v>
      </c>
      <c r="E28" s="430"/>
      <c r="F28" s="430"/>
    </row>
    <row r="29" spans="1:8" ht="27" customHeight="1" x14ac:dyDescent="0.3">
      <c r="C29" s="396" t="s">
        <v>541</v>
      </c>
      <c r="D29" s="429" t="s">
        <v>562</v>
      </c>
      <c r="E29" s="430"/>
      <c r="F29" s="430"/>
    </row>
    <row r="30" spans="1:8" ht="30" customHeight="1" x14ac:dyDescent="0.3">
      <c r="C30" s="396" t="s">
        <v>71</v>
      </c>
      <c r="D30" s="429" t="s">
        <v>544</v>
      </c>
      <c r="E30" s="430"/>
      <c r="F30" s="430"/>
    </row>
    <row r="31" spans="1:8" ht="27" customHeight="1" x14ac:dyDescent="0.3">
      <c r="C31" s="396" t="s">
        <v>228</v>
      </c>
      <c r="D31" s="429" t="s">
        <v>545</v>
      </c>
      <c r="E31" s="430"/>
      <c r="F31" s="430"/>
    </row>
    <row r="32" spans="1:8" ht="39" customHeight="1" x14ac:dyDescent="0.3">
      <c r="A32" s="379"/>
      <c r="B32" s="380"/>
      <c r="C32" s="381" t="s">
        <v>542</v>
      </c>
      <c r="D32" s="428" t="s">
        <v>546</v>
      </c>
      <c r="E32" s="428"/>
      <c r="F32" s="428"/>
      <c r="G32" s="382"/>
      <c r="H32" s="382"/>
    </row>
    <row r="33" spans="1:10" ht="27.75" customHeight="1" x14ac:dyDescent="0.3">
      <c r="C33" s="396" t="s">
        <v>500</v>
      </c>
      <c r="D33" s="429" t="s">
        <v>551</v>
      </c>
      <c r="E33" s="430"/>
      <c r="F33" s="430"/>
    </row>
    <row r="34" spans="1:10" ht="27.75" customHeight="1" x14ac:dyDescent="0.3">
      <c r="C34" s="396" t="s">
        <v>547</v>
      </c>
      <c r="D34" s="429" t="s">
        <v>553</v>
      </c>
      <c r="E34" s="430"/>
      <c r="F34" s="430"/>
    </row>
    <row r="35" spans="1:10" ht="27.75" customHeight="1" x14ac:dyDescent="0.3">
      <c r="C35" s="396" t="s">
        <v>548</v>
      </c>
      <c r="D35" s="429" t="s">
        <v>554</v>
      </c>
      <c r="E35" s="430"/>
      <c r="F35" s="430"/>
    </row>
    <row r="36" spans="1:10" ht="27.75" customHeight="1" x14ac:dyDescent="0.3">
      <c r="C36" s="396" t="s">
        <v>549</v>
      </c>
      <c r="D36" s="429" t="s">
        <v>555</v>
      </c>
      <c r="E36" s="430"/>
      <c r="F36" s="430"/>
    </row>
    <row r="37" spans="1:10" ht="27.75" customHeight="1" x14ac:dyDescent="0.3">
      <c r="C37" s="396" t="s">
        <v>550</v>
      </c>
      <c r="D37" s="429" t="s">
        <v>567</v>
      </c>
      <c r="E37" s="430"/>
      <c r="F37" s="430"/>
    </row>
    <row r="38" spans="1:10" ht="39" customHeight="1" x14ac:dyDescent="0.3">
      <c r="A38" s="379"/>
      <c r="B38" s="380"/>
      <c r="C38" s="388" t="s">
        <v>556</v>
      </c>
      <c r="D38" s="428" t="s">
        <v>565</v>
      </c>
      <c r="E38" s="428"/>
      <c r="F38" s="428"/>
      <c r="H38" s="382"/>
    </row>
    <row r="39" spans="1:10" ht="27.75" customHeight="1" x14ac:dyDescent="0.3">
      <c r="C39" s="396" t="s">
        <v>557</v>
      </c>
      <c r="D39" s="429" t="s">
        <v>566</v>
      </c>
      <c r="E39" s="430"/>
      <c r="F39" s="430"/>
    </row>
    <row r="40" spans="1:10" ht="27.75" customHeight="1" x14ac:dyDescent="0.3">
      <c r="C40" s="396" t="s">
        <v>558</v>
      </c>
      <c r="D40" s="429" t="s">
        <v>564</v>
      </c>
      <c r="E40" s="430"/>
      <c r="F40" s="430"/>
    </row>
    <row r="41" spans="1:10" ht="10.5" customHeight="1" x14ac:dyDescent="0.3">
      <c r="C41" s="383"/>
      <c r="D41" s="385"/>
      <c r="E41" s="385"/>
    </row>
    <row r="42" spans="1:10" x14ac:dyDescent="0.3">
      <c r="C42" s="383"/>
      <c r="D42" s="385"/>
      <c r="E42" s="385"/>
    </row>
    <row r="43" spans="1:10" ht="23.25" customHeight="1" x14ac:dyDescent="0.3">
      <c r="C43" s="431" t="s">
        <v>538</v>
      </c>
      <c r="D43" s="431"/>
      <c r="E43" s="431"/>
      <c r="F43" s="386"/>
      <c r="G43" s="386"/>
      <c r="H43" s="386"/>
      <c r="I43" s="374"/>
      <c r="J43" s="363"/>
    </row>
    <row r="44" spans="1:10" ht="35.25" customHeight="1" x14ac:dyDescent="0.3">
      <c r="C44" s="431" t="s">
        <v>591</v>
      </c>
      <c r="D44" s="431"/>
      <c r="E44" s="431"/>
      <c r="F44" s="386"/>
      <c r="G44" s="386"/>
      <c r="H44" s="386"/>
      <c r="I44" s="374"/>
      <c r="J44" s="363"/>
    </row>
    <row r="45" spans="1:10" x14ac:dyDescent="0.3">
      <c r="C45" s="427"/>
      <c r="D45" s="427"/>
      <c r="E45" s="427"/>
      <c r="F45" s="387"/>
      <c r="G45" s="387"/>
      <c r="H45" s="387"/>
      <c r="I45" s="387"/>
      <c r="J45" s="387"/>
    </row>
  </sheetData>
  <mergeCells count="26">
    <mergeCell ref="B7:D7"/>
    <mergeCell ref="B9:D9"/>
    <mergeCell ref="B17:D17"/>
    <mergeCell ref="B3:F3"/>
    <mergeCell ref="C44:E44"/>
    <mergeCell ref="D28:F28"/>
    <mergeCell ref="D29:F29"/>
    <mergeCell ref="D30:F30"/>
    <mergeCell ref="D31:F31"/>
    <mergeCell ref="D33:F33"/>
    <mergeCell ref="D32:F32"/>
    <mergeCell ref="D38:F38"/>
    <mergeCell ref="C45:E45"/>
    <mergeCell ref="D22:F22"/>
    <mergeCell ref="D23:F23"/>
    <mergeCell ref="C43:E43"/>
    <mergeCell ref="D24:F24"/>
    <mergeCell ref="D26:F26"/>
    <mergeCell ref="D40:F40"/>
    <mergeCell ref="D25:F25"/>
    <mergeCell ref="D34:F34"/>
    <mergeCell ref="D35:F35"/>
    <mergeCell ref="D36:F36"/>
    <mergeCell ref="D37:F37"/>
    <mergeCell ref="D39:F39"/>
    <mergeCell ref="D27:F27"/>
  </mergeCells>
  <pageMargins left="0.7" right="0.7" top="0.75" bottom="0.75" header="0.3" footer="0.3"/>
  <pageSetup paperSize="9" scale="69" orientation="portrait" r:id="rId1"/>
  <headerFooter>
    <oddFooter>&amp;L&amp;1#&amp;"Calibri"&amp;10&amp;K000000Classification: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36C4-6A6D-49BD-9337-86A7C1B472D1}">
  <sheetPr>
    <tabColor rgb="FF002060"/>
  </sheetPr>
  <dimension ref="A1"/>
  <sheetViews>
    <sheetView showGridLines="0" workbookViewId="0">
      <selection activeCell="B38" sqref="B38"/>
    </sheetView>
  </sheetViews>
  <sheetFormatPr defaultColWidth="10.75" defaultRowHeight="14" x14ac:dyDescent="0.3"/>
  <sheetData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6C57-D384-485E-8BEA-B6AE781E6953}">
  <dimension ref="A1:O42"/>
  <sheetViews>
    <sheetView showGridLines="0" tabSelected="1" zoomScale="85" zoomScaleNormal="85" workbookViewId="0">
      <pane xSplit="4" ySplit="2" topLeftCell="E27" activePane="bottomRight" state="frozen"/>
      <selection pane="topRight" activeCell="E1" sqref="E1"/>
      <selection pane="bottomLeft" activeCell="A3" sqref="A3"/>
      <selection pane="bottomRight" activeCell="H45" sqref="H45"/>
    </sheetView>
  </sheetViews>
  <sheetFormatPr defaultColWidth="11.33203125" defaultRowHeight="12.5" x14ac:dyDescent="0.25"/>
  <cols>
    <col min="1" max="2" width="2.5" style="4" customWidth="1"/>
    <col min="3" max="3" width="35.58203125" style="4" customWidth="1"/>
    <col min="4" max="4" width="6.5" style="4" bestFit="1" customWidth="1"/>
    <col min="5" max="13" width="8.58203125" style="4" customWidth="1"/>
    <col min="14" max="14" width="7.5" style="4" customWidth="1"/>
    <col min="15" max="15" width="8.58203125" style="4" customWidth="1"/>
    <col min="16" max="16384" width="11.33203125" style="4"/>
  </cols>
  <sheetData>
    <row r="1" spans="1:15" ht="26" x14ac:dyDescent="0.3">
      <c r="A1" s="58"/>
      <c r="B1" s="58"/>
      <c r="C1" s="58"/>
      <c r="D1" s="65" t="s">
        <v>30</v>
      </c>
      <c r="E1" s="65">
        <v>2011</v>
      </c>
      <c r="F1" s="65">
        <f>+E1+1</f>
        <v>2012</v>
      </c>
      <c r="G1" s="65">
        <f t="shared" ref="G1:M1" si="0">+F1+1</f>
        <v>2013</v>
      </c>
      <c r="H1" s="65">
        <f t="shared" si="0"/>
        <v>2014</v>
      </c>
      <c r="I1" s="65">
        <f t="shared" si="0"/>
        <v>2015</v>
      </c>
      <c r="J1" s="65">
        <f t="shared" si="0"/>
        <v>2016</v>
      </c>
      <c r="K1" s="65">
        <f t="shared" si="0"/>
        <v>2017</v>
      </c>
      <c r="L1" s="65">
        <f t="shared" si="0"/>
        <v>2018</v>
      </c>
      <c r="M1" s="65">
        <f t="shared" si="0"/>
        <v>2019</v>
      </c>
      <c r="N1" s="6"/>
      <c r="O1" s="227" t="s">
        <v>215</v>
      </c>
    </row>
    <row r="2" spans="1:15" ht="13" x14ac:dyDescent="0.3">
      <c r="A2" s="58"/>
      <c r="B2" s="61"/>
      <c r="C2" s="61"/>
      <c r="D2" s="62"/>
      <c r="E2" s="61"/>
      <c r="F2" s="61"/>
      <c r="G2" s="61"/>
      <c r="H2" s="61"/>
      <c r="I2" s="61"/>
      <c r="J2" s="61"/>
      <c r="K2" s="61"/>
      <c r="L2" s="61"/>
      <c r="M2" s="61"/>
      <c r="O2" s="61"/>
    </row>
    <row r="4" spans="1:15" ht="13" x14ac:dyDescent="0.3">
      <c r="B4" s="3" t="s">
        <v>209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</row>
    <row r="6" spans="1:15" ht="13" x14ac:dyDescent="0.3">
      <c r="B6" s="7" t="s">
        <v>210</v>
      </c>
    </row>
    <row r="7" spans="1:15" ht="6.75" customHeight="1" x14ac:dyDescent="0.3">
      <c r="B7" s="7"/>
    </row>
    <row r="8" spans="1:15" x14ac:dyDescent="0.25">
      <c r="C8" s="4" t="s">
        <v>212</v>
      </c>
      <c r="D8" s="6" t="s">
        <v>77</v>
      </c>
      <c r="E8" s="91">
        <f>'Ingresos (APM)'!G204</f>
        <v>0</v>
      </c>
      <c r="F8" s="91">
        <f>'Ingresos (APM)'!H204</f>
        <v>1.0110403262181633</v>
      </c>
      <c r="G8" s="91">
        <f>'Ingresos (APM)'!I204</f>
        <v>1.0950506427571856</v>
      </c>
      <c r="H8" s="91">
        <f>'Ingresos (APM)'!J204</f>
        <v>0.91484090769505544</v>
      </c>
      <c r="I8" s="91">
        <f>'Ingresos (APM)'!K204</f>
        <v>1.0503937558567558</v>
      </c>
      <c r="J8" s="91">
        <f>'Ingresos (APM)'!L204</f>
        <v>1.1679714205882026</v>
      </c>
      <c r="K8" s="91">
        <f>'Ingresos (APM)'!M204</f>
        <v>1.0989656813983042</v>
      </c>
      <c r="L8" s="91">
        <f>'Ingresos (APM)'!N204</f>
        <v>1.0753878473948684</v>
      </c>
      <c r="M8" s="91">
        <f>'Ingresos (APM)'!O204</f>
        <v>0.92734093996075728</v>
      </c>
    </row>
    <row r="9" spans="1:15" x14ac:dyDescent="0.25">
      <c r="C9" s="4" t="s">
        <v>213</v>
      </c>
      <c r="D9" s="6" t="s">
        <v>77</v>
      </c>
      <c r="E9" s="91">
        <f>+'Gastos (APM)'!G179</f>
        <v>0</v>
      </c>
      <c r="F9" s="91">
        <f>+'Gastos (APM)'!H179</f>
        <v>1.0153506462816531</v>
      </c>
      <c r="G9" s="91">
        <f>+'Gastos (APM)'!I179</f>
        <v>1.1298230602176784</v>
      </c>
      <c r="H9" s="91">
        <f>+'Gastos (APM)'!J179</f>
        <v>1.0253444793165314</v>
      </c>
      <c r="I9" s="91">
        <f>+'Gastos (APM)'!K179</f>
        <v>1.56909050931283</v>
      </c>
      <c r="J9" s="91">
        <f>+'Gastos (APM)'!L179</f>
        <v>1.6350259874522211</v>
      </c>
      <c r="K9" s="91">
        <f>+'Gastos (APM)'!M179</f>
        <v>1.0141537581389211</v>
      </c>
      <c r="L9" s="91">
        <f>+'Gastos (APM)'!N179</f>
        <v>0.97410794604194106</v>
      </c>
      <c r="M9" s="91">
        <f>+'Gastos (APM)'!O179</f>
        <v>0.93988363147447362</v>
      </c>
    </row>
    <row r="10" spans="1:15" x14ac:dyDescent="0.25">
      <c r="C10" s="4" t="s">
        <v>214</v>
      </c>
      <c r="D10" s="6" t="s">
        <v>77</v>
      </c>
      <c r="E10" s="87">
        <f>IFERROR(+E8/E9,0)</f>
        <v>0</v>
      </c>
      <c r="F10" s="87">
        <f>+F8/F9</f>
        <v>0.99575484579709017</v>
      </c>
      <c r="G10" s="87">
        <f t="shared" ref="G10:M10" si="1">+G8/G9</f>
        <v>0.96922312998834226</v>
      </c>
      <c r="H10" s="87">
        <f t="shared" si="1"/>
        <v>0.89222785722205789</v>
      </c>
      <c r="I10" s="87">
        <f t="shared" si="1"/>
        <v>0.66942840430330997</v>
      </c>
      <c r="J10" s="87">
        <f t="shared" si="1"/>
        <v>0.71434425480184194</v>
      </c>
      <c r="K10" s="87">
        <f t="shared" si="1"/>
        <v>1.0836282689668497</v>
      </c>
      <c r="L10" s="87">
        <f t="shared" si="1"/>
        <v>1.1039719486576969</v>
      </c>
      <c r="M10" s="87">
        <f t="shared" si="1"/>
        <v>0.98665505910126383</v>
      </c>
    </row>
    <row r="11" spans="1:15" x14ac:dyDescent="0.25">
      <c r="C11" s="18" t="s">
        <v>217</v>
      </c>
      <c r="D11" s="9" t="s">
        <v>39</v>
      </c>
      <c r="E11" s="84">
        <f>IFERROR(+LN(E10),0)</f>
        <v>0</v>
      </c>
      <c r="F11" s="84">
        <f>+LN(F10)</f>
        <v>-4.2541904525961261E-3</v>
      </c>
      <c r="G11" s="84">
        <f t="shared" ref="G11:M11" si="2">+LN(G10)</f>
        <v>-3.1260425293225216E-2</v>
      </c>
      <c r="H11" s="84">
        <f t="shared" si="2"/>
        <v>-0.11403373370651901</v>
      </c>
      <c r="I11" s="84">
        <f t="shared" si="2"/>
        <v>-0.4013310586233535</v>
      </c>
      <c r="J11" s="84">
        <f t="shared" si="2"/>
        <v>-0.3363902832569029</v>
      </c>
      <c r="K11" s="84">
        <f t="shared" si="2"/>
        <v>8.0314918897791174E-2</v>
      </c>
      <c r="L11" s="84">
        <f t="shared" si="2"/>
        <v>9.8914538707543992E-2</v>
      </c>
      <c r="M11" s="84">
        <f t="shared" si="2"/>
        <v>-1.3434784825736835E-2</v>
      </c>
    </row>
    <row r="12" spans="1:15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15" ht="13" x14ac:dyDescent="0.3">
      <c r="B13" s="7" t="s">
        <v>211</v>
      </c>
      <c r="E13" s="27"/>
      <c r="F13" s="27"/>
      <c r="G13" s="27"/>
      <c r="H13" s="27"/>
      <c r="I13" s="27"/>
      <c r="J13" s="27"/>
      <c r="K13" s="27"/>
      <c r="L13" s="27"/>
      <c r="M13" s="27"/>
    </row>
    <row r="14" spans="1:15" ht="6.75" customHeight="1" x14ac:dyDescent="0.3">
      <c r="B14" s="7"/>
    </row>
    <row r="15" spans="1:15" x14ac:dyDescent="0.25">
      <c r="C15" s="71" t="s">
        <v>216</v>
      </c>
      <c r="D15" s="76" t="s">
        <v>77</v>
      </c>
      <c r="E15" s="114">
        <f>+'Gastos (APM)'!G185</f>
        <v>0</v>
      </c>
      <c r="F15" s="114">
        <f>+'Gastos (APM)'!H185</f>
        <v>1.0285934941135448</v>
      </c>
      <c r="G15" s="114">
        <f>+'Gastos (APM)'!I185</f>
        <v>1.0150156322353534</v>
      </c>
      <c r="H15" s="114">
        <f>+'Gastos (APM)'!J185</f>
        <v>1.0303321751419101</v>
      </c>
      <c r="I15" s="114">
        <f>+'Gastos (APM)'!K185</f>
        <v>1.0186672630003608</v>
      </c>
      <c r="J15" s="114">
        <f>+'Gastos (APM)'!L185</f>
        <v>0.83971130786326309</v>
      </c>
      <c r="K15" s="114">
        <f>+'Gastos (APM)'!M185</f>
        <v>0.76858347241689884</v>
      </c>
      <c r="L15" s="114">
        <f>+'Gastos (APM)'!N185</f>
        <v>1.1361132443403699</v>
      </c>
      <c r="M15" s="114">
        <f>+'Gastos (APM)'!O185</f>
        <v>1.1381013978269321</v>
      </c>
    </row>
    <row r="16" spans="1:15" x14ac:dyDescent="0.25">
      <c r="C16" s="18" t="s">
        <v>217</v>
      </c>
      <c r="D16" s="9" t="s">
        <v>39</v>
      </c>
      <c r="E16" s="115">
        <f>IFERROR(+LN(E15),0)</f>
        <v>0</v>
      </c>
      <c r="F16" s="115">
        <f>+LN(F15)</f>
        <v>2.819232934698318E-2</v>
      </c>
      <c r="G16" s="115">
        <f t="shared" ref="G16:M16" si="3">+LN(G15)</f>
        <v>1.490401359225008E-2</v>
      </c>
      <c r="H16" s="115">
        <f t="shared" si="3"/>
        <v>2.988125038732976E-2</v>
      </c>
      <c r="I16" s="115">
        <f t="shared" si="3"/>
        <v>1.849516804210638E-2</v>
      </c>
      <c r="J16" s="115">
        <f t="shared" si="3"/>
        <v>-0.17469712733183018</v>
      </c>
      <c r="K16" s="115">
        <f t="shared" si="3"/>
        <v>-0.26320610457349092</v>
      </c>
      <c r="L16" s="115">
        <f t="shared" si="3"/>
        <v>0.12761300224988853</v>
      </c>
      <c r="M16" s="115">
        <f t="shared" si="3"/>
        <v>0.12936143351594667</v>
      </c>
    </row>
    <row r="18" spans="2:15" ht="13" x14ac:dyDescent="0.3">
      <c r="B18" s="3" t="s">
        <v>218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20" spans="2:15" ht="13" x14ac:dyDescent="0.3">
      <c r="B20" s="7" t="s">
        <v>219</v>
      </c>
    </row>
    <row r="21" spans="2:15" ht="6.75" customHeight="1" x14ac:dyDescent="0.3">
      <c r="B21" s="7"/>
    </row>
    <row r="22" spans="2:15" x14ac:dyDescent="0.25">
      <c r="C22" s="18" t="s">
        <v>222</v>
      </c>
      <c r="D22" s="9" t="str">
        <f>+Economía!E11</f>
        <v>%</v>
      </c>
      <c r="E22" s="113">
        <f>+Economía!G11</f>
        <v>4.6938479757361179E-3</v>
      </c>
      <c r="F22" s="113">
        <f>+Economía!H11</f>
        <v>2.7832010005061913E-4</v>
      </c>
      <c r="G22" s="113">
        <f>+Economía!I11</f>
        <v>1.1175291329946421E-2</v>
      </c>
      <c r="H22" s="113">
        <f>+Economía!J11</f>
        <v>-1.2989616088211951E-2</v>
      </c>
      <c r="I22" s="113">
        <f>+Economía!K11</f>
        <v>4.5017604474472325E-3</v>
      </c>
      <c r="J22" s="113">
        <f>+Economía!L11</f>
        <v>1.0552146632518095E-2</v>
      </c>
      <c r="K22" s="113">
        <f>+Economía!M11</f>
        <v>-1.7825706620211541E-3</v>
      </c>
      <c r="L22" s="113">
        <f>+Economía!N11</f>
        <v>1.141937178145265E-3</v>
      </c>
      <c r="M22" s="113">
        <f>+Economía!O11</f>
        <v>-1.4930494427131024E-2</v>
      </c>
    </row>
    <row r="23" spans="2:15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2:15" ht="13" x14ac:dyDescent="0.3">
      <c r="B24" s="7" t="s">
        <v>220</v>
      </c>
      <c r="E24" s="28"/>
      <c r="F24" s="28"/>
      <c r="G24" s="28"/>
      <c r="H24" s="28"/>
      <c r="I24" s="28"/>
      <c r="J24" s="28"/>
      <c r="K24" s="28"/>
      <c r="L24" s="28"/>
      <c r="M24" s="28"/>
    </row>
    <row r="25" spans="2:15" ht="7.5" customHeight="1" x14ac:dyDescent="0.3">
      <c r="B25" s="7"/>
      <c r="E25" s="28"/>
      <c r="F25" s="28"/>
      <c r="G25" s="28"/>
      <c r="H25" s="28"/>
      <c r="I25" s="28"/>
      <c r="J25" s="28"/>
      <c r="K25" s="28"/>
      <c r="L25" s="28"/>
      <c r="M25" s="28"/>
    </row>
    <row r="26" spans="2:15" x14ac:dyDescent="0.25">
      <c r="C26" s="18" t="s">
        <v>220</v>
      </c>
      <c r="D26" s="9" t="s">
        <v>39</v>
      </c>
      <c r="E26" s="113">
        <f>+Economía!G54</f>
        <v>9.6247505749176121E-2</v>
      </c>
      <c r="F26" s="113">
        <f>+Economía!H54</f>
        <v>6.2572135705151577E-2</v>
      </c>
      <c r="G26" s="113">
        <f>+Economía!I54</f>
        <v>-3.3774442413696676E-2</v>
      </c>
      <c r="H26" s="113">
        <f>+Economía!J54</f>
        <v>-1.024971238332233E-2</v>
      </c>
      <c r="I26" s="113">
        <f>+Economía!K54</f>
        <v>-6.8540651540186695E-2</v>
      </c>
      <c r="J26" s="113">
        <f>+Economía!L54</f>
        <v>3.6262025358143081E-2</v>
      </c>
      <c r="K26" s="113">
        <f>+Economía!M54</f>
        <v>4.1964485177831724E-2</v>
      </c>
      <c r="L26" s="113">
        <f>+Economía!N54</f>
        <v>-4.8887543069291526E-3</v>
      </c>
      <c r="M26" s="113">
        <f>+Economía!O54</f>
        <v>9.8042516189162342E-3</v>
      </c>
    </row>
    <row r="28" spans="2:15" ht="13" x14ac:dyDescent="0.3">
      <c r="B28" s="111" t="s">
        <v>304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O28" s="112"/>
    </row>
    <row r="30" spans="2:15" ht="13" x14ac:dyDescent="0.3">
      <c r="B30" s="7" t="s">
        <v>229</v>
      </c>
      <c r="D30" s="6"/>
    </row>
    <row r="31" spans="2:15" ht="6.75" customHeight="1" x14ac:dyDescent="0.3">
      <c r="B31" s="7"/>
    </row>
    <row r="32" spans="2:15" x14ac:dyDescent="0.25">
      <c r="C32" s="4" t="s">
        <v>227</v>
      </c>
      <c r="D32" s="6" t="s">
        <v>39</v>
      </c>
      <c r="E32" s="27">
        <f t="shared" ref="E32:M32" si="4">+E16</f>
        <v>0</v>
      </c>
      <c r="F32" s="27">
        <f t="shared" si="4"/>
        <v>2.819232934698318E-2</v>
      </c>
      <c r="G32" s="27">
        <f t="shared" si="4"/>
        <v>1.490401359225008E-2</v>
      </c>
      <c r="H32" s="27">
        <f t="shared" si="4"/>
        <v>2.988125038732976E-2</v>
      </c>
      <c r="I32" s="27">
        <f t="shared" si="4"/>
        <v>1.849516804210638E-2</v>
      </c>
      <c r="J32" s="27">
        <f t="shared" si="4"/>
        <v>-0.17469712733183018</v>
      </c>
      <c r="K32" s="27">
        <f t="shared" si="4"/>
        <v>-0.26320610457349092</v>
      </c>
      <c r="L32" s="27">
        <f t="shared" si="4"/>
        <v>0.12761300224988853</v>
      </c>
      <c r="M32" s="27">
        <f t="shared" si="4"/>
        <v>0.12936143351594667</v>
      </c>
      <c r="O32" s="27">
        <f>+AVERAGEIF(E32:M32,no_cero)</f>
        <v>-1.1182004346352064E-2</v>
      </c>
    </row>
    <row r="33" spans="2:15" x14ac:dyDescent="0.25">
      <c r="C33" s="18" t="s">
        <v>228</v>
      </c>
      <c r="D33" s="9" t="s">
        <v>39</v>
      </c>
      <c r="E33" s="108">
        <f t="shared" ref="E33:M33" si="5">+E26</f>
        <v>9.6247505749176121E-2</v>
      </c>
      <c r="F33" s="108">
        <f t="shared" si="5"/>
        <v>6.2572135705151577E-2</v>
      </c>
      <c r="G33" s="108">
        <f>+G26</f>
        <v>-3.3774442413696676E-2</v>
      </c>
      <c r="H33" s="108">
        <f t="shared" si="5"/>
        <v>-1.024971238332233E-2</v>
      </c>
      <c r="I33" s="108">
        <f t="shared" si="5"/>
        <v>-6.8540651540186695E-2</v>
      </c>
      <c r="J33" s="108">
        <f t="shared" si="5"/>
        <v>3.6262025358143081E-2</v>
      </c>
      <c r="K33" s="108">
        <f t="shared" si="5"/>
        <v>4.1964485177831724E-2</v>
      </c>
      <c r="L33" s="108">
        <f t="shared" si="5"/>
        <v>-4.8887543069291526E-3</v>
      </c>
      <c r="M33" s="108">
        <f t="shared" si="5"/>
        <v>9.8042516189162342E-3</v>
      </c>
      <c r="O33" s="108">
        <f>+AVERAGEIF(E33:M33,no_cero)</f>
        <v>1.4377426996120428E-2</v>
      </c>
    </row>
    <row r="34" spans="2:15" s="7" customFormat="1" ht="13" x14ac:dyDescent="0.3">
      <c r="C34" s="7" t="s">
        <v>214</v>
      </c>
      <c r="D34" s="110" t="s">
        <v>39</v>
      </c>
      <c r="E34" s="105">
        <f>+E32-E33</f>
        <v>-9.6247505749176121E-2</v>
      </c>
      <c r="F34" s="105">
        <f t="shared" ref="F34:M34" si="6">+F32-F33</f>
        <v>-3.4379806358168397E-2</v>
      </c>
      <c r="G34" s="105">
        <f t="shared" si="6"/>
        <v>4.8678456005946752E-2</v>
      </c>
      <c r="H34" s="105">
        <f t="shared" si="6"/>
        <v>4.013096277065209E-2</v>
      </c>
      <c r="I34" s="105">
        <f t="shared" si="6"/>
        <v>8.7035819582293075E-2</v>
      </c>
      <c r="J34" s="105">
        <f t="shared" si="6"/>
        <v>-0.21095915268997326</v>
      </c>
      <c r="K34" s="105">
        <f t="shared" si="6"/>
        <v>-0.30517058975132266</v>
      </c>
      <c r="L34" s="105">
        <f t="shared" si="6"/>
        <v>0.13250175655681767</v>
      </c>
      <c r="M34" s="105">
        <f t="shared" si="6"/>
        <v>0.11955718189703043</v>
      </c>
      <c r="O34" s="105">
        <f t="shared" ref="O34" si="7">+O32-O33</f>
        <v>-2.5559431342472492E-2</v>
      </c>
    </row>
    <row r="35" spans="2:15" ht="13" x14ac:dyDescent="0.3">
      <c r="C35" s="7"/>
      <c r="D35" s="99"/>
      <c r="E35" s="27"/>
      <c r="F35" s="27"/>
      <c r="G35" s="27"/>
      <c r="H35" s="27"/>
      <c r="I35" s="27"/>
      <c r="J35" s="27"/>
      <c r="K35" s="27"/>
      <c r="L35" s="27"/>
      <c r="M35" s="27"/>
      <c r="O35" s="27"/>
    </row>
    <row r="36" spans="2:15" ht="13" x14ac:dyDescent="0.3">
      <c r="B36" s="7" t="s">
        <v>222</v>
      </c>
      <c r="O36" s="27"/>
    </row>
    <row r="37" spans="2:15" ht="6.75" customHeight="1" x14ac:dyDescent="0.3">
      <c r="B37" s="7"/>
    </row>
    <row r="38" spans="2:15" x14ac:dyDescent="0.25">
      <c r="C38" s="4" t="s">
        <v>227</v>
      </c>
      <c r="D38" s="6" t="s">
        <v>39</v>
      </c>
      <c r="E38" s="27">
        <f t="shared" ref="E38:M38" si="8">+E11</f>
        <v>0</v>
      </c>
      <c r="F38" s="27">
        <f t="shared" si="8"/>
        <v>-4.2541904525961261E-3</v>
      </c>
      <c r="G38" s="27">
        <f t="shared" si="8"/>
        <v>-3.1260425293225216E-2</v>
      </c>
      <c r="H38" s="27">
        <f t="shared" si="8"/>
        <v>-0.11403373370651901</v>
      </c>
      <c r="I38" s="27">
        <f t="shared" si="8"/>
        <v>-0.4013310586233535</v>
      </c>
      <c r="J38" s="27">
        <f t="shared" si="8"/>
        <v>-0.3363902832569029</v>
      </c>
      <c r="K38" s="27">
        <f t="shared" si="8"/>
        <v>8.0314918897791174E-2</v>
      </c>
      <c r="L38" s="27">
        <f t="shared" si="8"/>
        <v>9.8914538707543992E-2</v>
      </c>
      <c r="M38" s="27">
        <f t="shared" si="8"/>
        <v>-1.3434784825736835E-2</v>
      </c>
      <c r="O38" s="27">
        <f>+AVERAGEIF(E38:M38,no_cero)</f>
        <v>-9.0184377319124792E-2</v>
      </c>
    </row>
    <row r="39" spans="2:15" x14ac:dyDescent="0.25">
      <c r="C39" s="18" t="s">
        <v>228</v>
      </c>
      <c r="D39" s="9" t="s">
        <v>39</v>
      </c>
      <c r="E39" s="108">
        <f t="shared" ref="E39:M39" si="9">+E22</f>
        <v>4.6938479757361179E-3</v>
      </c>
      <c r="F39" s="108">
        <f t="shared" si="9"/>
        <v>2.7832010005061913E-4</v>
      </c>
      <c r="G39" s="108">
        <f t="shared" si="9"/>
        <v>1.1175291329946421E-2</v>
      </c>
      <c r="H39" s="108">
        <f t="shared" si="9"/>
        <v>-1.2989616088211951E-2</v>
      </c>
      <c r="I39" s="108">
        <f t="shared" si="9"/>
        <v>4.5017604474472325E-3</v>
      </c>
      <c r="J39" s="108">
        <f t="shared" si="9"/>
        <v>1.0552146632518095E-2</v>
      </c>
      <c r="K39" s="108">
        <f t="shared" si="9"/>
        <v>-1.7825706620211541E-3</v>
      </c>
      <c r="L39" s="108">
        <f t="shared" si="9"/>
        <v>1.141937178145265E-3</v>
      </c>
      <c r="M39" s="108">
        <f t="shared" si="9"/>
        <v>-1.4930494427131024E-2</v>
      </c>
      <c r="O39" s="108">
        <f>+AVERAGEIF(E39:M39,no_cero)</f>
        <v>2.9340249849773583E-4</v>
      </c>
    </row>
    <row r="40" spans="2:15" s="7" customFormat="1" ht="13" x14ac:dyDescent="0.3">
      <c r="C40" s="7" t="s">
        <v>214</v>
      </c>
      <c r="D40" s="110" t="s">
        <v>39</v>
      </c>
      <c r="E40" s="105">
        <f>+E38-E39</f>
        <v>-4.6938479757361179E-3</v>
      </c>
      <c r="F40" s="105">
        <f t="shared" ref="F40:M40" si="10">+F38-F39</f>
        <v>-4.5325105526467452E-3</v>
      </c>
      <c r="G40" s="105">
        <f t="shared" si="10"/>
        <v>-4.2435716623171638E-2</v>
      </c>
      <c r="H40" s="105">
        <f t="shared" si="10"/>
        <v>-0.10104411761830706</v>
      </c>
      <c r="I40" s="105">
        <f t="shared" si="10"/>
        <v>-0.40583281907080071</v>
      </c>
      <c r="J40" s="105">
        <f t="shared" si="10"/>
        <v>-0.34694242988942098</v>
      </c>
      <c r="K40" s="105">
        <f t="shared" si="10"/>
        <v>8.2097489559812331E-2</v>
      </c>
      <c r="L40" s="105">
        <f t="shared" si="10"/>
        <v>9.7772601529398734E-2</v>
      </c>
      <c r="M40" s="105">
        <f t="shared" si="10"/>
        <v>1.4957096013941892E-3</v>
      </c>
      <c r="O40" s="105">
        <f t="shared" ref="O40" si="11">+O38-O39</f>
        <v>-9.0477779817622533E-2</v>
      </c>
    </row>
    <row r="41" spans="2:15" x14ac:dyDescent="0.25">
      <c r="G41" s="27"/>
      <c r="H41" s="149"/>
      <c r="I41" s="149"/>
      <c r="J41" s="149"/>
      <c r="K41" s="149"/>
      <c r="L41" s="149"/>
      <c r="M41" s="149"/>
    </row>
    <row r="42" spans="2:15" s="109" customFormat="1" ht="16" thickBot="1" x14ac:dyDescent="0.35">
      <c r="B42" s="275" t="s">
        <v>58</v>
      </c>
      <c r="C42" s="276"/>
      <c r="D42" s="277" t="s">
        <v>39</v>
      </c>
      <c r="E42" s="278">
        <f>+-E34+E40</f>
        <v>9.1553657773440003E-2</v>
      </c>
      <c r="F42" s="278">
        <f t="shared" ref="F42:M42" si="12">+-F34+F40</f>
        <v>2.9847295805521652E-2</v>
      </c>
      <c r="G42" s="278">
        <f t="shared" si="12"/>
        <v>-9.111417262911839E-2</v>
      </c>
      <c r="H42" s="278">
        <f t="shared" si="12"/>
        <v>-0.14117508038895915</v>
      </c>
      <c r="I42" s="278">
        <f t="shared" si="12"/>
        <v>-0.49286863865309377</v>
      </c>
      <c r="J42" s="278">
        <f t="shared" si="12"/>
        <v>-0.13598327719944772</v>
      </c>
      <c r="K42" s="278">
        <f t="shared" si="12"/>
        <v>0.38726807931113499</v>
      </c>
      <c r="L42" s="278">
        <f t="shared" si="12"/>
        <v>-3.472915502741894E-2</v>
      </c>
      <c r="M42" s="278">
        <f t="shared" si="12"/>
        <v>-0.11806147229563624</v>
      </c>
      <c r="O42" s="426">
        <f t="shared" ref="O42" si="13">-O34+O40</f>
        <v>-6.4918348475150045E-2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25EF-E8B4-45F8-BE2F-35FE2AF6EF6D}">
  <sheetPr>
    <tabColor rgb="FF002060"/>
  </sheetPr>
  <dimension ref="A1"/>
  <sheetViews>
    <sheetView showGridLines="0" workbookViewId="0"/>
  </sheetViews>
  <sheetFormatPr defaultColWidth="10.75" defaultRowHeight="14" x14ac:dyDescent="0.3"/>
  <sheetData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0128-76E6-448D-973F-15B9581A2AB7}">
  <sheetPr>
    <tabColor theme="3" tint="0.59999389629810485"/>
  </sheetPr>
  <dimension ref="B1:I13"/>
  <sheetViews>
    <sheetView showGridLines="0" view="pageBreakPreview" zoomScale="60" zoomScaleNormal="85" workbookViewId="0">
      <selection activeCell="D7" sqref="D7"/>
    </sheetView>
  </sheetViews>
  <sheetFormatPr defaultColWidth="11.33203125" defaultRowHeight="12.5" x14ac:dyDescent="0.25"/>
  <cols>
    <col min="1" max="1" width="11.33203125" style="4"/>
    <col min="2" max="2" width="2.33203125" style="4" customWidth="1"/>
    <col min="3" max="3" width="2.08203125" style="4" customWidth="1"/>
    <col min="4" max="4" width="17.58203125" style="4" customWidth="1"/>
    <col min="5" max="5" width="11.33203125" style="6"/>
    <col min="6" max="6" width="11.33203125" style="4"/>
    <col min="7" max="7" width="3.83203125" style="4" customWidth="1"/>
    <col min="8" max="8" width="12.25" style="4" customWidth="1"/>
    <col min="9" max="9" width="3.08203125" style="4" customWidth="1"/>
    <col min="10" max="16384" width="11.33203125" style="4"/>
  </cols>
  <sheetData>
    <row r="1" spans="2:9" ht="13" x14ac:dyDescent="0.3">
      <c r="E1" s="118" t="s">
        <v>2</v>
      </c>
      <c r="F1" s="23" t="s">
        <v>1</v>
      </c>
      <c r="G1" s="23"/>
      <c r="H1" s="23" t="s">
        <v>3</v>
      </c>
    </row>
    <row r="2" spans="2:9" x14ac:dyDescent="0.25">
      <c r="B2" s="16"/>
      <c r="C2" s="16"/>
      <c r="D2" s="16"/>
      <c r="E2" s="73"/>
      <c r="F2" s="16"/>
      <c r="G2" s="16"/>
      <c r="H2" s="16"/>
      <c r="I2" s="16"/>
    </row>
    <row r="4" spans="2:9" ht="13" x14ac:dyDescent="0.3">
      <c r="B4" s="3" t="s">
        <v>4</v>
      </c>
      <c r="C4" s="1"/>
      <c r="D4" s="2"/>
      <c r="E4" s="2"/>
      <c r="F4" s="2"/>
      <c r="G4" s="1"/>
      <c r="H4" s="1"/>
      <c r="I4" s="1"/>
    </row>
    <row r="5" spans="2:9" ht="8.25" customHeight="1" x14ac:dyDescent="0.25"/>
    <row r="6" spans="2:9" x14ac:dyDescent="0.25">
      <c r="D6" s="4" t="s">
        <v>5</v>
      </c>
      <c r="E6" s="6" t="s">
        <v>8</v>
      </c>
      <c r="F6" s="6" t="s">
        <v>112</v>
      </c>
      <c r="H6" s="17">
        <v>1000</v>
      </c>
    </row>
    <row r="7" spans="2:9" x14ac:dyDescent="0.25">
      <c r="D7" s="4" t="s">
        <v>6</v>
      </c>
      <c r="E7" s="6" t="s">
        <v>8</v>
      </c>
      <c r="F7" s="6" t="s">
        <v>7</v>
      </c>
      <c r="H7" s="17" t="s">
        <v>9</v>
      </c>
    </row>
    <row r="8" spans="2:9" x14ac:dyDescent="0.25">
      <c r="F8" s="6"/>
    </row>
    <row r="9" spans="2:9" ht="13" x14ac:dyDescent="0.3">
      <c r="B9" s="3" t="s">
        <v>65</v>
      </c>
      <c r="C9" s="1"/>
      <c r="D9" s="2"/>
      <c r="E9" s="2"/>
      <c r="F9" s="2"/>
      <c r="G9" s="1"/>
      <c r="H9" s="1"/>
      <c r="I9" s="1"/>
    </row>
    <row r="10" spans="2:9" x14ac:dyDescent="0.25">
      <c r="F10" s="6"/>
    </row>
    <row r="11" spans="2:9" ht="13" x14ac:dyDescent="0.3">
      <c r="C11" s="7" t="s">
        <v>98</v>
      </c>
      <c r="F11" s="6"/>
    </row>
    <row r="12" spans="2:9" x14ac:dyDescent="0.25">
      <c r="D12" s="4" t="s">
        <v>135</v>
      </c>
      <c r="E12" s="6" t="s">
        <v>322</v>
      </c>
      <c r="F12" s="6" t="s">
        <v>39</v>
      </c>
      <c r="H12" s="85">
        <v>0.3</v>
      </c>
    </row>
    <row r="13" spans="2:9" x14ac:dyDescent="0.25">
      <c r="F13" s="6"/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23EE-1326-44B6-91AB-7AAA993A54E9}">
  <dimension ref="B1:AK206"/>
  <sheetViews>
    <sheetView showGridLines="0" zoomScale="85" zoomScaleNormal="85" workbookViewId="0">
      <pane xSplit="5" ySplit="2" topLeftCell="F162" activePane="bottomRight" state="frozen"/>
      <selection pane="topRight" activeCell="F1" sqref="F1"/>
      <selection pane="bottomLeft" activeCell="A3" sqref="A3"/>
      <selection pane="bottomRight" activeCell="L19" sqref="L19"/>
    </sheetView>
  </sheetViews>
  <sheetFormatPr defaultColWidth="11.33203125" defaultRowHeight="12.5" x14ac:dyDescent="0.25"/>
  <cols>
    <col min="1" max="1" width="3.33203125" style="4" customWidth="1"/>
    <col min="2" max="2" width="3.5" style="4" customWidth="1"/>
    <col min="3" max="3" width="45.83203125" style="4" bestFit="1" customWidth="1"/>
    <col min="4" max="4" width="7.75" style="6" bestFit="1" customWidth="1"/>
    <col min="5" max="5" width="18.75" style="6" bestFit="1" customWidth="1"/>
    <col min="6" max="6" width="3.75" style="4" customWidth="1"/>
    <col min="7" max="10" width="9.83203125" style="4" bestFit="1" customWidth="1"/>
    <col min="11" max="13" width="10.58203125" style="4" bestFit="1" customWidth="1"/>
    <col min="14" max="14" width="9.83203125" style="4" bestFit="1" customWidth="1"/>
    <col min="15" max="15" width="10.58203125" style="4" bestFit="1" customWidth="1"/>
    <col min="16" max="16384" width="11.33203125" style="4"/>
  </cols>
  <sheetData>
    <row r="1" spans="2:15" ht="13" x14ac:dyDescent="0.3">
      <c r="D1" s="168" t="s">
        <v>2</v>
      </c>
      <c r="E1" s="168" t="s">
        <v>1</v>
      </c>
      <c r="G1" s="168">
        <v>2011</v>
      </c>
      <c r="H1" s="168">
        <v>2012</v>
      </c>
      <c r="I1" s="168">
        <v>2013</v>
      </c>
      <c r="J1" s="168">
        <v>2014</v>
      </c>
      <c r="K1" s="168">
        <v>2015</v>
      </c>
      <c r="L1" s="168">
        <v>2016</v>
      </c>
      <c r="M1" s="168">
        <v>2017</v>
      </c>
      <c r="N1" s="168">
        <v>2018</v>
      </c>
      <c r="O1" s="168">
        <v>2019</v>
      </c>
    </row>
    <row r="2" spans="2:15" x14ac:dyDescent="0.25">
      <c r="B2" s="16"/>
      <c r="C2" s="16"/>
      <c r="D2" s="73"/>
      <c r="E2" s="73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2:15" ht="13" x14ac:dyDescent="0.3">
      <c r="B4" s="3" t="s">
        <v>245</v>
      </c>
      <c r="C4" s="1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</row>
    <row r="6" spans="2:15" ht="13" x14ac:dyDescent="0.3">
      <c r="B6" s="7" t="s">
        <v>246</v>
      </c>
    </row>
    <row r="7" spans="2:15" x14ac:dyDescent="0.25">
      <c r="C7" s="5" t="s">
        <v>11</v>
      </c>
      <c r="D7" s="94" t="s">
        <v>16</v>
      </c>
      <c r="E7" s="94" t="s">
        <v>271</v>
      </c>
      <c r="G7" s="163">
        <f>+Ingresos!G105</f>
        <v>9955.886199999999</v>
      </c>
      <c r="H7" s="163">
        <f>+Ingresos!H105</f>
        <v>9772.7102200000008</v>
      </c>
      <c r="I7" s="163">
        <f>+Ingresos!I105</f>
        <v>11466.464759999999</v>
      </c>
      <c r="J7" s="163">
        <f>+Ingresos!J105</f>
        <v>9457.5140800000008</v>
      </c>
      <c r="K7" s="163">
        <f>+Ingresos!K105</f>
        <v>10218.990250000057</v>
      </c>
      <c r="L7" s="163">
        <f>+Ingresos!L105</f>
        <v>9127.0499600000003</v>
      </c>
      <c r="M7" s="163">
        <f>+Ingresos!M105</f>
        <v>10687.25785</v>
      </c>
      <c r="N7" s="163">
        <f>+Ingresos!N105</f>
        <v>12356.363330000011</v>
      </c>
      <c r="O7" s="163">
        <f>+Ingresos!O105</f>
        <v>12961.177939999998</v>
      </c>
    </row>
    <row r="8" spans="2:15" x14ac:dyDescent="0.25">
      <c r="C8" s="5" t="s">
        <v>12</v>
      </c>
      <c r="D8" s="94" t="s">
        <v>16</v>
      </c>
      <c r="E8" s="94" t="s">
        <v>271</v>
      </c>
      <c r="G8" s="163">
        <f>+Ingresos!G106</f>
        <v>7686.546800000001</v>
      </c>
      <c r="H8" s="163">
        <f>+Ingresos!H106</f>
        <v>6931.0731099999994</v>
      </c>
      <c r="I8" s="163">
        <f>+Ingresos!I106</f>
        <v>7954.3244199999999</v>
      </c>
      <c r="J8" s="163">
        <f>+Ingresos!J106</f>
        <v>8204.4670800000313</v>
      </c>
      <c r="K8" s="163">
        <f>+Ingresos!K106</f>
        <v>11347.69641</v>
      </c>
      <c r="L8" s="163">
        <f>+Ingresos!L106</f>
        <v>13945.081850000002</v>
      </c>
      <c r="M8" s="163">
        <f>+Ingresos!M106</f>
        <v>15958.814910000001</v>
      </c>
      <c r="N8" s="163">
        <f>+Ingresos!N106</f>
        <v>15917.194220000001</v>
      </c>
      <c r="O8" s="163">
        <f>+Ingresos!O106</f>
        <v>13503.98827</v>
      </c>
    </row>
    <row r="9" spans="2:15" x14ac:dyDescent="0.25">
      <c r="C9" s="5" t="s">
        <v>13</v>
      </c>
      <c r="D9" s="94" t="s">
        <v>16</v>
      </c>
      <c r="E9" s="94" t="s">
        <v>271</v>
      </c>
      <c r="G9" s="163">
        <f>+Ingresos!G107</f>
        <v>11863.22336</v>
      </c>
      <c r="H9" s="163">
        <f>+Ingresos!H107</f>
        <v>10306.918099999999</v>
      </c>
      <c r="I9" s="163">
        <f>+Ingresos!I107</f>
        <v>14169.731490000002</v>
      </c>
      <c r="J9" s="163">
        <f>+Ingresos!J107</f>
        <v>14660.816729999688</v>
      </c>
      <c r="K9" s="163">
        <f>+Ingresos!K107</f>
        <v>18488.357370000002</v>
      </c>
      <c r="L9" s="163">
        <f>+Ingresos!L107</f>
        <v>22619.935250000002</v>
      </c>
      <c r="M9" s="163">
        <f>+Ingresos!M107</f>
        <v>26630.230429999996</v>
      </c>
      <c r="N9" s="163">
        <f>+Ingresos!N107</f>
        <v>33162.470509999999</v>
      </c>
      <c r="O9" s="163">
        <f>+Ingresos!O107</f>
        <v>35956.198589999985</v>
      </c>
    </row>
    <row r="10" spans="2:15" x14ac:dyDescent="0.25">
      <c r="C10" s="5" t="s">
        <v>14</v>
      </c>
      <c r="D10" s="94" t="s">
        <v>16</v>
      </c>
      <c r="E10" s="94" t="s">
        <v>271</v>
      </c>
      <c r="G10" s="163">
        <f>+Ingresos!G108</f>
        <v>2103.3365800000001</v>
      </c>
      <c r="H10" s="163">
        <f>+Ingresos!H108</f>
        <v>1461.7850800000001</v>
      </c>
      <c r="I10" s="163">
        <f>+Ingresos!I108</f>
        <v>1406.1486199999999</v>
      </c>
      <c r="J10" s="163">
        <f>+Ingresos!J108</f>
        <v>1858.64879</v>
      </c>
      <c r="K10" s="163">
        <f>+Ingresos!K108</f>
        <v>2353.17616</v>
      </c>
      <c r="L10" s="163">
        <f>+Ingresos!L108</f>
        <v>3088.7722399999998</v>
      </c>
      <c r="M10" s="163">
        <f>+Ingresos!M108</f>
        <v>2831.2362699999999</v>
      </c>
      <c r="N10" s="163">
        <f>+Ingresos!N108</f>
        <v>3197.5938500000007</v>
      </c>
      <c r="O10" s="163">
        <f>+Ingresos!O108</f>
        <v>2437.8802000000001</v>
      </c>
    </row>
    <row r="11" spans="2:15" x14ac:dyDescent="0.25">
      <c r="C11" s="5" t="s">
        <v>15</v>
      </c>
      <c r="D11" s="94" t="s">
        <v>16</v>
      </c>
      <c r="E11" s="94" t="s">
        <v>271</v>
      </c>
      <c r="G11" s="163">
        <f>+Ingresos!G109</f>
        <v>4976.7065200000006</v>
      </c>
      <c r="H11" s="163">
        <f>+Ingresos!H109</f>
        <v>2427.8231100000003</v>
      </c>
      <c r="I11" s="163">
        <f>+Ingresos!I109</f>
        <v>4699.0397299999995</v>
      </c>
      <c r="J11" s="163">
        <f>+Ingresos!J109</f>
        <v>4195.7180599999983</v>
      </c>
      <c r="K11" s="163">
        <f>+Ingresos!K109</f>
        <v>6740.4760500000011</v>
      </c>
      <c r="L11" s="163">
        <f>+Ingresos!L109</f>
        <v>11738.351219999999</v>
      </c>
      <c r="M11" s="163">
        <f>+Ingresos!M109</f>
        <v>14738.927449999997</v>
      </c>
      <c r="N11" s="163">
        <f>+Ingresos!N109</f>
        <v>16943.76154</v>
      </c>
      <c r="O11" s="163">
        <f>+Ingresos!O109</f>
        <v>16323.737800000001</v>
      </c>
    </row>
    <row r="12" spans="2:15" x14ac:dyDescent="0.25">
      <c r="C12" s="5" t="s">
        <v>297</v>
      </c>
      <c r="D12" s="94" t="s">
        <v>16</v>
      </c>
      <c r="E12" s="94" t="s">
        <v>271</v>
      </c>
      <c r="G12" s="163">
        <f>+Ingresos!G110</f>
        <v>395.76292000000001</v>
      </c>
      <c r="H12" s="163">
        <f>+Ingresos!H110</f>
        <v>883.67554000000007</v>
      </c>
      <c r="I12" s="163">
        <f>+Ingresos!I110</f>
        <v>481.67801000000003</v>
      </c>
      <c r="J12" s="163">
        <f>+Ingresos!J110</f>
        <v>1009.0722499999997</v>
      </c>
      <c r="K12" s="163">
        <f>+Ingresos!K110</f>
        <v>745.66438000000005</v>
      </c>
      <c r="L12" s="163">
        <f>+Ingresos!L110</f>
        <v>2020.3192000000001</v>
      </c>
      <c r="M12" s="163">
        <f>+Ingresos!M110</f>
        <v>2244.1615299999999</v>
      </c>
      <c r="N12" s="163">
        <f>+Ingresos!N110</f>
        <v>2708.9404000000004</v>
      </c>
      <c r="O12" s="163">
        <f>+Ingresos!O110</f>
        <v>2478.5329999999999</v>
      </c>
    </row>
    <row r="13" spans="2:15" x14ac:dyDescent="0.25">
      <c r="C13" s="5" t="s">
        <v>298</v>
      </c>
      <c r="D13" s="94" t="s">
        <v>16</v>
      </c>
      <c r="E13" s="94" t="s">
        <v>271</v>
      </c>
      <c r="G13" s="163">
        <f>+Ingresos!G111</f>
        <v>415.36552</v>
      </c>
      <c r="H13" s="163">
        <f>+Ingresos!H111</f>
        <v>805.70902000000001</v>
      </c>
      <c r="I13" s="163">
        <f>+Ingresos!I111</f>
        <v>871.19262000000003</v>
      </c>
      <c r="J13" s="163">
        <f>+Ingresos!J111</f>
        <v>1466.6122600000015</v>
      </c>
      <c r="K13" s="163">
        <f>+Ingresos!K111</f>
        <v>688.77668999999992</v>
      </c>
      <c r="L13" s="163">
        <f>+Ingresos!L111</f>
        <v>2341.3178999999996</v>
      </c>
      <c r="M13" s="163">
        <f>+Ingresos!M111</f>
        <v>4170.4354000000003</v>
      </c>
      <c r="N13" s="163">
        <f>+Ingresos!N111</f>
        <v>4182.7950000000001</v>
      </c>
      <c r="O13" s="163">
        <f>+Ingresos!O111</f>
        <v>4020.5508</v>
      </c>
    </row>
    <row r="14" spans="2:15" x14ac:dyDescent="0.25">
      <c r="C14" s="5" t="s">
        <v>299</v>
      </c>
      <c r="D14" s="94" t="s">
        <v>16</v>
      </c>
      <c r="E14" s="94" t="s">
        <v>271</v>
      </c>
      <c r="G14" s="163">
        <f>+Ingresos!G112</f>
        <v>226.19441999999998</v>
      </c>
      <c r="H14" s="163">
        <f>+Ingresos!H112</f>
        <v>167.86667</v>
      </c>
      <c r="I14" s="163">
        <f>+Ingresos!I112</f>
        <v>41.501649999999991</v>
      </c>
      <c r="J14" s="163">
        <f>+Ingresos!J112</f>
        <v>6.3956600000000003</v>
      </c>
      <c r="K14" s="163">
        <f>+Ingresos!K112</f>
        <v>41.875119999999995</v>
      </c>
      <c r="L14" s="163">
        <f>+Ingresos!L112</f>
        <v>197.69564</v>
      </c>
      <c r="M14" s="163">
        <f>+Ingresos!M112</f>
        <v>207.35319999999999</v>
      </c>
      <c r="N14" s="163">
        <f>+Ingresos!N112</f>
        <v>106.05800000000001</v>
      </c>
      <c r="O14" s="163">
        <f>+Ingresos!O112</f>
        <v>114.17</v>
      </c>
    </row>
    <row r="15" spans="2:15" x14ac:dyDescent="0.25">
      <c r="C15" s="5" t="s">
        <v>300</v>
      </c>
      <c r="D15" s="94" t="s">
        <v>16</v>
      </c>
      <c r="E15" s="94" t="s">
        <v>271</v>
      </c>
      <c r="G15" s="163">
        <f>+Ingresos!G113</f>
        <v>1304.9558400000001</v>
      </c>
      <c r="H15" s="163">
        <f>+Ingresos!H113</f>
        <v>659.39112</v>
      </c>
      <c r="I15" s="163">
        <f>+Ingresos!I113</f>
        <v>254.84609999999998</v>
      </c>
      <c r="J15" s="163">
        <f>+Ingresos!J113</f>
        <v>119.46181999999997</v>
      </c>
      <c r="K15" s="163">
        <f>+Ingresos!K113</f>
        <v>298.49154999999996</v>
      </c>
      <c r="L15" s="163">
        <f>+Ingresos!L113</f>
        <v>2146.0320000000002</v>
      </c>
      <c r="M15" s="163">
        <f>+Ingresos!M113</f>
        <v>1675.1098599999998</v>
      </c>
      <c r="N15" s="163">
        <f>+Ingresos!N113</f>
        <v>1454.2670000000001</v>
      </c>
      <c r="O15" s="163">
        <f>+Ingresos!O113</f>
        <v>592.61400000000003</v>
      </c>
    </row>
    <row r="16" spans="2:15" x14ac:dyDescent="0.25">
      <c r="C16" s="5" t="s">
        <v>263</v>
      </c>
      <c r="D16" s="94" t="s">
        <v>16</v>
      </c>
      <c r="E16" s="94" t="s">
        <v>271</v>
      </c>
      <c r="G16" s="163">
        <f>+Ingresos!G114</f>
        <v>12141.117099999999</v>
      </c>
      <c r="H16" s="163">
        <f>+Ingresos!H114</f>
        <v>13230.663440000091</v>
      </c>
      <c r="I16" s="163">
        <f>+Ingresos!I114</f>
        <v>13855.647560000001</v>
      </c>
      <c r="J16" s="163">
        <f>+Ingresos!J114</f>
        <v>14371.02439</v>
      </c>
      <c r="K16" s="163">
        <f>+Ingresos!K114</f>
        <v>14643.180876191784</v>
      </c>
      <c r="L16" s="163">
        <f>+Ingresos!L114</f>
        <v>15055.781540000002</v>
      </c>
      <c r="M16" s="163">
        <f>+Ingresos!M114</f>
        <v>16077.866959999999</v>
      </c>
      <c r="N16" s="163">
        <f>+Ingresos!N114</f>
        <v>23811.623341781058</v>
      </c>
      <c r="O16" s="163">
        <f>+Ingresos!O114</f>
        <v>25219.97942771875</v>
      </c>
    </row>
    <row r="17" spans="3:16" x14ac:dyDescent="0.25">
      <c r="C17" s="5" t="s">
        <v>264</v>
      </c>
      <c r="D17" s="94" t="s">
        <v>16</v>
      </c>
      <c r="E17" s="94" t="s">
        <v>271</v>
      </c>
      <c r="G17" s="163">
        <f>+Ingresos!G115</f>
        <v>9508.8030399999989</v>
      </c>
      <c r="H17" s="163">
        <f>+Ingresos!H115</f>
        <v>13037.006840000035</v>
      </c>
      <c r="I17" s="163">
        <f>+Ingresos!I115</f>
        <v>12373.864640000022</v>
      </c>
      <c r="J17" s="163">
        <f>+Ingresos!J115</f>
        <v>10055.372529999995</v>
      </c>
      <c r="K17" s="163">
        <f>+Ingresos!K115</f>
        <v>10280.033615707964</v>
      </c>
      <c r="L17" s="163">
        <f>+Ingresos!L115</f>
        <v>8656.1137899999994</v>
      </c>
      <c r="M17" s="163">
        <f>+Ingresos!M115</f>
        <v>11105.799639999999</v>
      </c>
      <c r="N17" s="163">
        <f>+Ingresos!N115</f>
        <v>10798.725720699998</v>
      </c>
      <c r="O17" s="163">
        <f>+Ingresos!O115</f>
        <v>10948.152855852941</v>
      </c>
    </row>
    <row r="18" spans="3:16" x14ac:dyDescent="0.25">
      <c r="C18" s="5" t="s">
        <v>265</v>
      </c>
      <c r="D18" s="94" t="s">
        <v>16</v>
      </c>
      <c r="E18" s="94" t="s">
        <v>271</v>
      </c>
      <c r="G18" s="163">
        <f>+Ingresos!G116</f>
        <v>24333.718900000029</v>
      </c>
      <c r="H18" s="163">
        <f>+Ingresos!H116</f>
        <v>22349.432880000015</v>
      </c>
      <c r="I18" s="163">
        <f>+Ingresos!I116</f>
        <v>24488.202369999992</v>
      </c>
      <c r="J18" s="163">
        <f>+Ingresos!J116</f>
        <v>21295.422440000013</v>
      </c>
      <c r="K18" s="163">
        <f>+Ingresos!K116</f>
        <v>17095.440559999992</v>
      </c>
      <c r="L18" s="163">
        <f>+Ingresos!L116</f>
        <v>20426.011670000004</v>
      </c>
      <c r="M18" s="163">
        <f>+Ingresos!M116</f>
        <v>26184.359339999999</v>
      </c>
      <c r="N18" s="163">
        <f>+Ingresos!N116</f>
        <v>28156.363799999974</v>
      </c>
      <c r="O18" s="163">
        <f>+Ingresos!O116</f>
        <v>32527.246449999999</v>
      </c>
    </row>
    <row r="19" spans="3:16" x14ac:dyDescent="0.25">
      <c r="C19" s="5" t="s">
        <v>266</v>
      </c>
      <c r="D19" s="94" t="s">
        <v>16</v>
      </c>
      <c r="E19" s="94" t="s">
        <v>271</v>
      </c>
      <c r="G19" s="163">
        <f>+Ingresos!G117</f>
        <v>3055.5633400000024</v>
      </c>
      <c r="H19" s="163">
        <f>+Ingresos!H117</f>
        <v>3196.1801400000036</v>
      </c>
      <c r="I19" s="163">
        <f>+Ingresos!I117</f>
        <v>3689.6615299999999</v>
      </c>
      <c r="J19" s="163">
        <f>+Ingresos!J117</f>
        <v>3095.5815600000024</v>
      </c>
      <c r="K19" s="163">
        <f>+Ingresos!K117</f>
        <v>3184.6033299999967</v>
      </c>
      <c r="L19" s="163">
        <f>+Ingresos!L117</f>
        <v>3626.4810499999999</v>
      </c>
      <c r="M19" s="163">
        <f>+Ingresos!M117</f>
        <v>4050.3174600000002</v>
      </c>
      <c r="N19" s="163">
        <f>+Ingresos!N117</f>
        <v>4493.5514899999962</v>
      </c>
      <c r="O19" s="163">
        <f>+Ingresos!O117</f>
        <v>6112.0106999999989</v>
      </c>
    </row>
    <row r="20" spans="3:16" x14ac:dyDescent="0.25">
      <c r="C20" s="5" t="s">
        <v>267</v>
      </c>
      <c r="D20" s="94" t="s">
        <v>16</v>
      </c>
      <c r="E20" s="94" t="s">
        <v>271</v>
      </c>
      <c r="G20" s="163">
        <f>+Ingresos!G118</f>
        <v>68.319999999999993</v>
      </c>
      <c r="H20" s="163">
        <f>+Ingresos!H118</f>
        <v>148.64410000000001</v>
      </c>
      <c r="I20" s="163">
        <f>+Ingresos!I118</f>
        <v>223.96362000000002</v>
      </c>
      <c r="J20" s="163">
        <f>+Ingresos!J118</f>
        <v>159.78939</v>
      </c>
      <c r="K20" s="163">
        <f>+Ingresos!K118</f>
        <v>272.54192000000006</v>
      </c>
      <c r="L20" s="163">
        <f>+Ingresos!L118</f>
        <v>231.20761999999999</v>
      </c>
      <c r="M20" s="163">
        <f>+Ingresos!M118</f>
        <v>306.77929</v>
      </c>
      <c r="N20" s="163">
        <f>+Ingresos!N118</f>
        <v>277.24063999999896</v>
      </c>
      <c r="O20" s="163">
        <f>+Ingresos!O118</f>
        <v>451.81546000000003</v>
      </c>
    </row>
    <row r="21" spans="3:16" x14ac:dyDescent="0.25">
      <c r="C21" s="5"/>
      <c r="D21" s="94"/>
      <c r="E21" s="94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3:16" x14ac:dyDescent="0.25">
      <c r="C22" s="5" t="s">
        <v>18</v>
      </c>
      <c r="D22" s="94" t="s">
        <v>16</v>
      </c>
      <c r="E22" s="94" t="s">
        <v>271</v>
      </c>
      <c r="G22" s="163">
        <f>+Ingresos!G120</f>
        <v>1727.98568</v>
      </c>
      <c r="H22" s="163">
        <f>+Ingresos!H120</f>
        <v>2792.7644499999924</v>
      </c>
      <c r="I22" s="163">
        <f>+Ingresos!I120</f>
        <v>2095.7465899999738</v>
      </c>
      <c r="J22" s="163">
        <f>+Ingresos!J120</f>
        <v>3643.1298700000129</v>
      </c>
      <c r="K22" s="163">
        <f>+Ingresos!K120</f>
        <v>6169.0902400000277</v>
      </c>
      <c r="L22" s="163">
        <f>+Ingresos!L120</f>
        <v>10020.921519999998</v>
      </c>
      <c r="M22" s="163">
        <f>+Ingresos!M120</f>
        <v>13564.701929999996</v>
      </c>
      <c r="N22" s="163">
        <f>+Ingresos!N120</f>
        <v>19067.433770000003</v>
      </c>
      <c r="O22" s="163">
        <f>+Ingresos!O120</f>
        <v>14425.43270999987</v>
      </c>
      <c r="P22" s="34"/>
    </row>
    <row r="23" spans="3:16" x14ac:dyDescent="0.25">
      <c r="C23" s="5" t="s">
        <v>19</v>
      </c>
      <c r="D23" s="94" t="s">
        <v>16</v>
      </c>
      <c r="E23" s="94" t="s">
        <v>271</v>
      </c>
      <c r="G23" s="163">
        <f>+Ingresos!G121</f>
        <v>851.14409999999998</v>
      </c>
      <c r="H23" s="163">
        <f>+Ingresos!H121</f>
        <v>700.07786000000021</v>
      </c>
      <c r="I23" s="163">
        <f>+Ingresos!I121</f>
        <v>180.47669000000002</v>
      </c>
      <c r="J23" s="163">
        <f>+Ingresos!J121</f>
        <v>479.4402</v>
      </c>
      <c r="K23" s="163">
        <f>+Ingresos!K121</f>
        <v>1681.5006708543131</v>
      </c>
      <c r="L23" s="163">
        <f>+Ingresos!L121</f>
        <v>796.85483999999997</v>
      </c>
      <c r="M23" s="163">
        <f>+Ingresos!M121</f>
        <v>1532.6506000000002</v>
      </c>
      <c r="N23" s="163">
        <f>+Ingresos!N121</f>
        <v>940.45126879999998</v>
      </c>
      <c r="O23" s="163">
        <f>+Ingresos!O121</f>
        <v>944.32492228124988</v>
      </c>
      <c r="P23" s="34"/>
    </row>
    <row r="24" spans="3:16" x14ac:dyDescent="0.25">
      <c r="C24" s="5" t="s">
        <v>20</v>
      </c>
      <c r="D24" s="94" t="s">
        <v>16</v>
      </c>
      <c r="E24" s="94" t="s">
        <v>271</v>
      </c>
      <c r="G24" s="163">
        <f>+Ingresos!G122</f>
        <v>348.36557999999997</v>
      </c>
      <c r="H24" s="163">
        <f>+Ingresos!H122</f>
        <v>1285.2424600000002</v>
      </c>
      <c r="I24" s="163">
        <f>+Ingresos!I122</f>
        <v>1208.6329900000003</v>
      </c>
      <c r="J24" s="163">
        <f>+Ingresos!J122</f>
        <v>927.47535999999991</v>
      </c>
      <c r="K24" s="163">
        <f>+Ingresos!K122</f>
        <v>2102.1568742920076</v>
      </c>
      <c r="L24" s="163">
        <f>+Ingresos!L122</f>
        <v>767.63902999999993</v>
      </c>
      <c r="M24" s="163">
        <f>+Ingresos!M122</f>
        <v>935.51637999999991</v>
      </c>
      <c r="N24" s="163">
        <f>+Ingresos!N122</f>
        <v>1016.0288292999999</v>
      </c>
      <c r="O24" s="163">
        <f>+Ingresos!O122</f>
        <v>911.31597414705902</v>
      </c>
      <c r="P24" s="34"/>
    </row>
    <row r="25" spans="3:16" x14ac:dyDescent="0.25">
      <c r="C25" s="5" t="s">
        <v>21</v>
      </c>
      <c r="D25" s="94" t="s">
        <v>16</v>
      </c>
      <c r="E25" s="94" t="s">
        <v>271</v>
      </c>
      <c r="G25" s="163">
        <f>+Ingresos!G123</f>
        <v>576.50094000000001</v>
      </c>
      <c r="H25" s="163">
        <f>+Ingresos!H123</f>
        <v>884.53003999999976</v>
      </c>
      <c r="I25" s="163">
        <f>+Ingresos!I123</f>
        <v>411.20080000000002</v>
      </c>
      <c r="J25" s="163">
        <f>+Ingresos!J123</f>
        <v>158.27175</v>
      </c>
      <c r="K25" s="163">
        <f>+Ingresos!K123</f>
        <v>32.665060000000004</v>
      </c>
      <c r="L25" s="163">
        <f>+Ingresos!L123</f>
        <v>0</v>
      </c>
      <c r="M25" s="163">
        <f>+Ingresos!M123</f>
        <v>0</v>
      </c>
      <c r="N25" s="163">
        <f>+Ingresos!N123</f>
        <v>9.6769999999999995E-2</v>
      </c>
      <c r="O25" s="163">
        <f>+Ingresos!O123</f>
        <v>59.636660000000006</v>
      </c>
      <c r="P25" s="34"/>
    </row>
    <row r="26" spans="3:16" x14ac:dyDescent="0.25">
      <c r="C26" s="5" t="s">
        <v>22</v>
      </c>
      <c r="D26" s="94" t="s">
        <v>16</v>
      </c>
      <c r="E26" s="94" t="s">
        <v>271</v>
      </c>
      <c r="G26" s="163">
        <f>+Ingresos!G124</f>
        <v>0</v>
      </c>
      <c r="H26" s="163">
        <f>+Ingresos!H124</f>
        <v>0</v>
      </c>
      <c r="I26" s="163">
        <f>+Ingresos!I124</f>
        <v>1548.81861</v>
      </c>
      <c r="J26" s="163">
        <f>+Ingresos!J124</f>
        <v>1076.0974199999987</v>
      </c>
      <c r="K26" s="163">
        <f>+Ingresos!K124</f>
        <v>1171.7161599999995</v>
      </c>
      <c r="L26" s="163">
        <f>+Ingresos!L124</f>
        <v>397.56668999999999</v>
      </c>
      <c r="M26" s="163">
        <f>+Ingresos!M124</f>
        <v>64.23</v>
      </c>
      <c r="N26" s="163">
        <f>+Ingresos!N124</f>
        <v>-20</v>
      </c>
      <c r="O26" s="163">
        <f>+Ingresos!O124</f>
        <v>25</v>
      </c>
      <c r="P26" s="34"/>
    </row>
    <row r="27" spans="3:16" x14ac:dyDescent="0.25">
      <c r="C27" s="5" t="s">
        <v>23</v>
      </c>
      <c r="D27" s="94" t="s">
        <v>16</v>
      </c>
      <c r="E27" s="94" t="s">
        <v>271</v>
      </c>
      <c r="G27" s="163">
        <f>+Ingresos!G125</f>
        <v>0</v>
      </c>
      <c r="H27" s="163">
        <f>+Ingresos!H125</f>
        <v>0</v>
      </c>
      <c r="I27" s="163">
        <f>+Ingresos!I125</f>
        <v>521.75517583780538</v>
      </c>
      <c r="J27" s="163">
        <f>+Ingresos!J125</f>
        <v>324.85432109933521</v>
      </c>
      <c r="K27" s="163">
        <f>+Ingresos!K125</f>
        <v>326.20203295392929</v>
      </c>
      <c r="L27" s="163">
        <f>+Ingresos!L125</f>
        <v>23.746219999999994</v>
      </c>
      <c r="M27" s="163">
        <f>+Ingresos!M125</f>
        <v>103.11479000000004</v>
      </c>
      <c r="N27" s="163">
        <f>+Ingresos!N125</f>
        <v>-8.6126205810397547</v>
      </c>
      <c r="O27" s="163">
        <f>+Ingresos!O125</f>
        <v>0</v>
      </c>
      <c r="P27" s="34"/>
    </row>
    <row r="28" spans="3:16" x14ac:dyDescent="0.25">
      <c r="C28" s="5" t="s">
        <v>24</v>
      </c>
      <c r="D28" s="94" t="s">
        <v>16</v>
      </c>
      <c r="E28" s="94" t="s">
        <v>271</v>
      </c>
      <c r="G28" s="163">
        <f>+Ingresos!G126</f>
        <v>0</v>
      </c>
      <c r="H28" s="163">
        <f>+Ingresos!H126</f>
        <v>0</v>
      </c>
      <c r="I28" s="163">
        <f>+Ingresos!I126</f>
        <v>490.67037657480307</v>
      </c>
      <c r="J28" s="163">
        <f>+Ingresos!J126</f>
        <v>598.62179000000015</v>
      </c>
      <c r="K28" s="163">
        <f>+Ingresos!K126</f>
        <v>723.89185000000043</v>
      </c>
      <c r="L28" s="163">
        <f>+Ingresos!L126</f>
        <v>783.22606000000019</v>
      </c>
      <c r="M28" s="163">
        <f>+Ingresos!M126</f>
        <v>494.22650999999996</v>
      </c>
      <c r="N28" s="163">
        <f>+Ingresos!N126</f>
        <v>470.21052000000003</v>
      </c>
      <c r="O28" s="163">
        <f>+Ingresos!O126</f>
        <v>427.52525000000009</v>
      </c>
      <c r="P28" s="34"/>
    </row>
    <row r="29" spans="3:16" x14ac:dyDescent="0.25">
      <c r="C29" s="5" t="s">
        <v>268</v>
      </c>
      <c r="D29" s="94" t="s">
        <v>16</v>
      </c>
      <c r="E29" s="94" t="s">
        <v>271</v>
      </c>
      <c r="G29" s="163">
        <f>+Ingresos!G127</f>
        <v>100.86199999999999</v>
      </c>
      <c r="H29" s="163">
        <f>+Ingresos!H127</f>
        <v>179.8</v>
      </c>
      <c r="I29" s="163">
        <f>+Ingresos!I127</f>
        <v>412.8</v>
      </c>
      <c r="J29" s="163">
        <f>+Ingresos!J127</f>
        <v>320.39499000000001</v>
      </c>
      <c r="K29" s="163">
        <f>+Ingresos!K127</f>
        <v>382.55</v>
      </c>
      <c r="L29" s="163">
        <f>+Ingresos!L127</f>
        <v>380.08</v>
      </c>
      <c r="M29" s="163">
        <f>+Ingresos!M127</f>
        <v>184.55682000000002</v>
      </c>
      <c r="N29" s="163">
        <f>+Ingresos!N127</f>
        <v>411.76249999999999</v>
      </c>
      <c r="O29" s="163">
        <f>+Ingresos!O127</f>
        <v>575.99699999999996</v>
      </c>
      <c r="P29" s="34"/>
    </row>
    <row r="30" spans="3:16" x14ac:dyDescent="0.25">
      <c r="C30" s="5" t="s">
        <v>269</v>
      </c>
      <c r="D30" s="94" t="s">
        <v>16</v>
      </c>
      <c r="E30" s="94" t="s">
        <v>271</v>
      </c>
      <c r="G30" s="163">
        <f>+Ingresos!G128</f>
        <v>0</v>
      </c>
      <c r="H30" s="163">
        <f>+Ingresos!H128</f>
        <v>0</v>
      </c>
      <c r="I30" s="163">
        <f>+Ingresos!I128</f>
        <v>398.85317999999995</v>
      </c>
      <c r="J30" s="163">
        <f>+Ingresos!J128</f>
        <v>420.18998999999997</v>
      </c>
      <c r="K30" s="163">
        <f>+Ingresos!K128</f>
        <v>1449.2908500000001</v>
      </c>
      <c r="L30" s="163">
        <f>+Ingresos!L128</f>
        <v>2066.7109999999998</v>
      </c>
      <c r="M30" s="163">
        <f>+Ingresos!M128</f>
        <v>2208.06185</v>
      </c>
      <c r="N30" s="163">
        <f>+Ingresos!N128</f>
        <v>2706.2494999999999</v>
      </c>
      <c r="O30" s="163">
        <f>+Ingresos!O128</f>
        <v>2597.7804999999998</v>
      </c>
      <c r="P30" s="34"/>
    </row>
    <row r="31" spans="3:16" x14ac:dyDescent="0.25">
      <c r="C31" s="5" t="s">
        <v>25</v>
      </c>
      <c r="D31" s="94" t="s">
        <v>16</v>
      </c>
      <c r="E31" s="94" t="s">
        <v>271</v>
      </c>
      <c r="G31" s="163">
        <f>+Ingresos!G129</f>
        <v>170.20272</v>
      </c>
      <c r="H31" s="163">
        <f>+Ingresos!H129</f>
        <v>672.8</v>
      </c>
      <c r="I31" s="163">
        <f>+Ingresos!I129</f>
        <v>790.67517999999995</v>
      </c>
      <c r="J31" s="163">
        <f>+Ingresos!J129</f>
        <v>567.11318000000108</v>
      </c>
      <c r="K31" s="163">
        <f>+Ingresos!K129</f>
        <v>518.59433000000047</v>
      </c>
      <c r="L31" s="163">
        <f>+Ingresos!L129</f>
        <v>478.30297999999999</v>
      </c>
      <c r="M31" s="163">
        <f>+Ingresos!M129</f>
        <v>564.56471999999997</v>
      </c>
      <c r="N31" s="163">
        <f>+Ingresos!N129</f>
        <v>771.85799999999995</v>
      </c>
      <c r="O31" s="163">
        <f>+Ingresos!O129</f>
        <v>685.06018999999992</v>
      </c>
      <c r="P31" s="34"/>
    </row>
    <row r="32" spans="3:16" x14ac:dyDescent="0.25">
      <c r="C32" s="5" t="s">
        <v>26</v>
      </c>
      <c r="D32" s="94" t="s">
        <v>16</v>
      </c>
      <c r="E32" s="94" t="s">
        <v>271</v>
      </c>
      <c r="G32" s="163">
        <f>+Ingresos!G130</f>
        <v>0</v>
      </c>
      <c r="H32" s="163">
        <f>+Ingresos!H130</f>
        <v>0</v>
      </c>
      <c r="I32" s="163">
        <f>+Ingresos!I130</f>
        <v>254.505</v>
      </c>
      <c r="J32" s="163">
        <f>+Ingresos!J130</f>
        <v>430.72719999999964</v>
      </c>
      <c r="K32" s="163">
        <f>+Ingresos!K130</f>
        <v>357.06738999999993</v>
      </c>
      <c r="L32" s="163">
        <f>+Ingresos!L130</f>
        <v>376.53189000000003</v>
      </c>
      <c r="M32" s="163">
        <f>+Ingresos!M130</f>
        <v>284.42771999999997</v>
      </c>
      <c r="N32" s="163">
        <f>+Ingresos!N130</f>
        <v>732.16</v>
      </c>
      <c r="O32" s="163">
        <f>+Ingresos!O130</f>
        <v>338.65800000000002</v>
      </c>
      <c r="P32" s="34"/>
    </row>
    <row r="33" spans="2:18" x14ac:dyDescent="0.25">
      <c r="C33" s="5" t="s">
        <v>27</v>
      </c>
      <c r="D33" s="94" t="s">
        <v>16</v>
      </c>
      <c r="E33" s="94" t="s">
        <v>271</v>
      </c>
      <c r="G33" s="163">
        <f>+Ingresos!G131</f>
        <v>242.65611999999999</v>
      </c>
      <c r="H33" s="163">
        <f>+Ingresos!H131</f>
        <v>228.33137999999988</v>
      </c>
      <c r="I33" s="163">
        <f>+Ingresos!I131</f>
        <v>131.26455999999999</v>
      </c>
      <c r="J33" s="163">
        <f>+Ingresos!J131</f>
        <v>310.53903999999994</v>
      </c>
      <c r="K33" s="163">
        <f>+Ingresos!K131</f>
        <v>222.43460000000002</v>
      </c>
      <c r="L33" s="163">
        <f>+Ingresos!L131</f>
        <v>187.52500000000001</v>
      </c>
      <c r="M33" s="163">
        <f>+Ingresos!M131</f>
        <v>114.821</v>
      </c>
      <c r="N33" s="163">
        <f>+Ingresos!N131</f>
        <v>139.96460000000002</v>
      </c>
      <c r="O33" s="163">
        <f>+Ingresos!O131</f>
        <v>162.374</v>
      </c>
      <c r="P33" s="34"/>
    </row>
    <row r="34" spans="2:18" x14ac:dyDescent="0.25">
      <c r="C34" s="5" t="s">
        <v>28</v>
      </c>
      <c r="D34" s="94" t="s">
        <v>16</v>
      </c>
      <c r="E34" s="94" t="s">
        <v>271</v>
      </c>
      <c r="G34" s="163">
        <f>+Ingresos!G132</f>
        <v>0</v>
      </c>
      <c r="H34" s="163">
        <f>+Ingresos!H132</f>
        <v>0</v>
      </c>
      <c r="I34" s="163">
        <f>+Ingresos!I132</f>
        <v>0</v>
      </c>
      <c r="J34" s="163">
        <f>+Ingresos!J132</f>
        <v>479.21968624595848</v>
      </c>
      <c r="K34" s="163">
        <f>+Ingresos!K132</f>
        <v>459.48364000000186</v>
      </c>
      <c r="L34" s="163">
        <f>+Ingresos!L132</f>
        <v>511.26893000000001</v>
      </c>
      <c r="M34" s="163">
        <f>+Ingresos!M132</f>
        <v>596.61363000000006</v>
      </c>
      <c r="N34" s="163">
        <f>+Ingresos!N132</f>
        <v>605.76498000000004</v>
      </c>
      <c r="O34" s="163">
        <f>+Ingresos!O132</f>
        <v>669.06</v>
      </c>
      <c r="P34" s="34"/>
    </row>
    <row r="35" spans="2:18" x14ac:dyDescent="0.25">
      <c r="C35" s="5" t="s">
        <v>270</v>
      </c>
      <c r="D35" s="94" t="s">
        <v>16</v>
      </c>
      <c r="E35" s="94" t="s">
        <v>271</v>
      </c>
      <c r="G35" s="163">
        <f>+Ingresos!G133</f>
        <v>0</v>
      </c>
      <c r="H35" s="163">
        <f>+Ingresos!H133</f>
        <v>0</v>
      </c>
      <c r="I35" s="163">
        <f>+Ingresos!I133</f>
        <v>0</v>
      </c>
      <c r="J35" s="163">
        <f>+Ingresos!J133</f>
        <v>644.38369565217397</v>
      </c>
      <c r="K35" s="163">
        <f>+Ingresos!K133</f>
        <v>1036.25</v>
      </c>
      <c r="L35" s="163">
        <f>+Ingresos!L133</f>
        <v>1421.8720000000001</v>
      </c>
      <c r="M35" s="163">
        <f>+Ingresos!M133</f>
        <v>2398.4479999999999</v>
      </c>
      <c r="N35" s="163">
        <f>+Ingresos!N133</f>
        <v>4426.2550999999994</v>
      </c>
      <c r="O35" s="163">
        <f>+Ingresos!O133</f>
        <v>4625.8670000000002</v>
      </c>
      <c r="P35" s="34"/>
    </row>
    <row r="36" spans="2:18" x14ac:dyDescent="0.25">
      <c r="C36" s="5" t="s">
        <v>29</v>
      </c>
      <c r="D36" s="94" t="s">
        <v>16</v>
      </c>
      <c r="E36" s="94" t="s">
        <v>271</v>
      </c>
      <c r="G36" s="163">
        <f>+Ingresos!G134</f>
        <v>281.19412</v>
      </c>
      <c r="H36" s="163">
        <f>+Ingresos!H134</f>
        <v>317.84986999997506</v>
      </c>
      <c r="I36" s="163">
        <f>+Ingresos!I134</f>
        <v>275.31229999999869</v>
      </c>
      <c r="J36" s="163">
        <f>+Ingresos!J134</f>
        <v>311.21622999999983</v>
      </c>
      <c r="K36" s="163">
        <f>+Ingresos!K134</f>
        <v>245.8928700000001</v>
      </c>
      <c r="L36" s="163">
        <f>+Ingresos!L134</f>
        <v>535.41712999999993</v>
      </c>
      <c r="M36" s="163">
        <f>+Ingresos!M134</f>
        <v>756.77638000000002</v>
      </c>
      <c r="N36" s="163">
        <f>+Ingresos!N134</f>
        <v>1170.2197900000003</v>
      </c>
      <c r="O36" s="163">
        <f>+Ingresos!O134</f>
        <v>647.80032800000004</v>
      </c>
      <c r="P36" s="34"/>
    </row>
    <row r="37" spans="2:18" ht="13.5" thickBot="1" x14ac:dyDescent="0.35">
      <c r="C37" s="72" t="s">
        <v>192</v>
      </c>
      <c r="D37" s="75" t="s">
        <v>16</v>
      </c>
      <c r="E37" s="75" t="s">
        <v>271</v>
      </c>
      <c r="F37" s="7"/>
      <c r="G37" s="165">
        <f t="shared" ref="G37:O37" si="0">+SUM(G7:G36)</f>
        <v>92334.411800000045</v>
      </c>
      <c r="H37" s="165">
        <f t="shared" si="0"/>
        <v>92440.275430000111</v>
      </c>
      <c r="I37" s="165">
        <f t="shared" si="0"/>
        <v>104696.97857241261</v>
      </c>
      <c r="J37" s="165">
        <f t="shared" si="0"/>
        <v>100647.57176299722</v>
      </c>
      <c r="K37" s="165">
        <f t="shared" si="0"/>
        <v>113278.09085000007</v>
      </c>
      <c r="L37" s="165">
        <f t="shared" si="0"/>
        <v>133967.81422</v>
      </c>
      <c r="M37" s="165">
        <f t="shared" si="0"/>
        <v>160671.35991999996</v>
      </c>
      <c r="N37" s="165">
        <f t="shared" si="0"/>
        <v>189996.79185000007</v>
      </c>
      <c r="O37" s="165">
        <f t="shared" si="0"/>
        <v>190743.88802799987</v>
      </c>
    </row>
    <row r="38" spans="2:18" x14ac:dyDescent="0.25">
      <c r="G38" s="8"/>
      <c r="H38" s="8"/>
      <c r="I38" s="8"/>
      <c r="J38" s="8"/>
      <c r="K38" s="8"/>
      <c r="L38" s="8"/>
      <c r="M38" s="8"/>
      <c r="N38" s="8"/>
      <c r="O38" s="8"/>
    </row>
    <row r="39" spans="2:18" ht="13" x14ac:dyDescent="0.3">
      <c r="B39" s="3" t="s">
        <v>193</v>
      </c>
      <c r="C39" s="95"/>
      <c r="D39" s="2"/>
      <c r="E39" s="2"/>
      <c r="F39" s="1"/>
      <c r="G39" s="146">
        <f>+G40-G117</f>
        <v>0</v>
      </c>
      <c r="H39" s="146">
        <f t="shared" ref="H39:O39" si="1">+H40-H117</f>
        <v>0</v>
      </c>
      <c r="I39" s="146">
        <f t="shared" si="1"/>
        <v>0</v>
      </c>
      <c r="J39" s="146">
        <f t="shared" si="1"/>
        <v>0</v>
      </c>
      <c r="K39" s="146">
        <f t="shared" si="1"/>
        <v>0</v>
      </c>
      <c r="L39" s="146">
        <f t="shared" si="1"/>
        <v>0</v>
      </c>
      <c r="M39" s="146">
        <f t="shared" si="1"/>
        <v>0</v>
      </c>
      <c r="N39" s="146">
        <f t="shared" si="1"/>
        <v>0</v>
      </c>
      <c r="O39" s="146">
        <f t="shared" si="1"/>
        <v>0</v>
      </c>
      <c r="P39" s="81"/>
      <c r="Q39" s="81"/>
      <c r="R39" s="81"/>
    </row>
    <row r="40" spans="2:18" x14ac:dyDescent="0.25">
      <c r="G40" s="8">
        <f>+G37-G42-G43-G47</f>
        <v>83186.001060000039</v>
      </c>
      <c r="H40" s="8">
        <f t="shared" ref="H40:O40" si="2">+H37-H42-H43-H47</f>
        <v>84655.382030000095</v>
      </c>
      <c r="I40" s="8">
        <f t="shared" si="2"/>
        <v>93687.46690241262</v>
      </c>
      <c r="J40" s="8">
        <f t="shared" si="2"/>
        <v>92252.829212997225</v>
      </c>
      <c r="K40" s="8">
        <f t="shared" si="2"/>
        <v>103936.86988000007</v>
      </c>
      <c r="L40" s="8">
        <f t="shared" si="2"/>
        <v>124064.67653000001</v>
      </c>
      <c r="M40" s="8">
        <f t="shared" si="2"/>
        <v>150025.81964999996</v>
      </c>
      <c r="N40" s="8">
        <f t="shared" si="2"/>
        <v>175880.08854000006</v>
      </c>
      <c r="O40" s="8">
        <f t="shared" si="2"/>
        <v>174176.48750799987</v>
      </c>
    </row>
    <row r="41" spans="2:18" ht="13" x14ac:dyDescent="0.25">
      <c r="B41" s="97" t="s">
        <v>97</v>
      </c>
      <c r="G41" s="8"/>
      <c r="H41" s="8"/>
      <c r="I41" s="8"/>
      <c r="J41" s="8"/>
      <c r="K41" s="8"/>
      <c r="L41" s="8"/>
      <c r="M41" s="8"/>
      <c r="N41" s="8"/>
      <c r="O41" s="8"/>
    </row>
    <row r="42" spans="2:18" ht="13" x14ac:dyDescent="0.25">
      <c r="B42" s="97"/>
      <c r="C42" s="4" t="s">
        <v>197</v>
      </c>
      <c r="D42" s="6" t="s">
        <v>41</v>
      </c>
      <c r="E42" s="6" t="s">
        <v>271</v>
      </c>
      <c r="G42" s="170">
        <f>+Ingresos!G248</f>
        <v>2796.9181600000002</v>
      </c>
      <c r="H42" s="170">
        <f>+Ingresos!H248</f>
        <v>2794.2794599999997</v>
      </c>
      <c r="I42" s="170">
        <f>+Ingresos!I248</f>
        <v>3308.3048400000002</v>
      </c>
      <c r="J42" s="170">
        <f>+Ingresos!J248</f>
        <v>3218.7748799999999</v>
      </c>
      <c r="K42" s="170">
        <f>+Ingresos!K248</f>
        <v>3532.5621300000003</v>
      </c>
      <c r="L42" s="170">
        <f>+Ingresos!L248</f>
        <v>4085.9436900000001</v>
      </c>
      <c r="M42" s="170">
        <f>+Ingresos!M248</f>
        <v>5015.0170699999999</v>
      </c>
      <c r="N42" s="170">
        <f>+Ingresos!N248</f>
        <v>5910.5067399999998</v>
      </c>
      <c r="O42" s="170">
        <f>+Ingresos!O248</f>
        <v>5794.7223199999999</v>
      </c>
    </row>
    <row r="43" spans="2:18" ht="13" x14ac:dyDescent="0.25">
      <c r="B43" s="97"/>
      <c r="C43" s="18" t="s">
        <v>198</v>
      </c>
      <c r="D43" s="9" t="s">
        <v>41</v>
      </c>
      <c r="E43" s="9" t="s">
        <v>271</v>
      </c>
      <c r="G43" s="170">
        <f>+Ingresos!G249</f>
        <v>921.91938000000005</v>
      </c>
      <c r="H43" s="170">
        <f>+Ingresos!H249</f>
        <v>931.42646999999999</v>
      </c>
      <c r="I43" s="170">
        <f>+Ingresos!I249</f>
        <v>1102.13428</v>
      </c>
      <c r="J43" s="170">
        <f>+Ingresos!J249</f>
        <v>1072.79018</v>
      </c>
      <c r="K43" s="170">
        <f>+Ingresos!K249</f>
        <v>1177.5210500000001</v>
      </c>
      <c r="L43" s="170">
        <f>+Ingresos!L249</f>
        <v>1362.76494</v>
      </c>
      <c r="M43" s="170">
        <f>+Ingresos!M249</f>
        <v>1672.8759700000001</v>
      </c>
      <c r="N43" s="170">
        <f>+Ingresos!N249</f>
        <v>1970.0527500000001</v>
      </c>
      <c r="O43" s="170">
        <f>+Ingresos!O249</f>
        <v>1931.5725</v>
      </c>
    </row>
    <row r="44" spans="2:18" ht="13" x14ac:dyDescent="0.3">
      <c r="C44" s="7" t="s">
        <v>194</v>
      </c>
      <c r="D44" s="168" t="s">
        <v>41</v>
      </c>
      <c r="E44" s="168" t="s">
        <v>271</v>
      </c>
      <c r="G44" s="171">
        <f>+SUM(G42:G43)</f>
        <v>3718.8375400000004</v>
      </c>
      <c r="H44" s="171">
        <f t="shared" ref="H44:O44" si="3">+SUM(H42:H43)</f>
        <v>3725.7059299999996</v>
      </c>
      <c r="I44" s="171">
        <f t="shared" si="3"/>
        <v>4410.43912</v>
      </c>
      <c r="J44" s="171">
        <f t="shared" si="3"/>
        <v>4291.5650599999999</v>
      </c>
      <c r="K44" s="171">
        <f t="shared" si="3"/>
        <v>4710.0831800000005</v>
      </c>
      <c r="L44" s="171">
        <f t="shared" si="3"/>
        <v>5448.7086300000001</v>
      </c>
      <c r="M44" s="171">
        <f t="shared" si="3"/>
        <v>6687.8930399999999</v>
      </c>
      <c r="N44" s="171">
        <f t="shared" si="3"/>
        <v>7880.5594899999996</v>
      </c>
      <c r="O44" s="171">
        <f t="shared" si="3"/>
        <v>7726.2948200000001</v>
      </c>
    </row>
    <row r="45" spans="2:18" x14ac:dyDescent="0.25">
      <c r="C45" s="4" t="s">
        <v>195</v>
      </c>
      <c r="D45" s="6" t="s">
        <v>41</v>
      </c>
      <c r="E45" s="6" t="s">
        <v>39</v>
      </c>
      <c r="G45" s="107">
        <f>+G44/G37</f>
        <v>4.0275748418207809E-2</v>
      </c>
      <c r="H45" s="107">
        <f t="shared" ref="H45:O45" si="4">+H44/H37</f>
        <v>4.0303925022608461E-2</v>
      </c>
      <c r="I45" s="107">
        <f t="shared" si="4"/>
        <v>4.2125753580840579E-2</v>
      </c>
      <c r="J45" s="107">
        <f t="shared" si="4"/>
        <v>4.2639529049997217E-2</v>
      </c>
      <c r="K45" s="107">
        <f t="shared" si="4"/>
        <v>4.1579824877495258E-2</v>
      </c>
      <c r="L45" s="107">
        <f t="shared" si="4"/>
        <v>4.0671773751956644E-2</v>
      </c>
      <c r="M45" s="107">
        <f t="shared" si="4"/>
        <v>4.1624674387084143E-2</v>
      </c>
      <c r="N45" s="107">
        <f>+N44/N37</f>
        <v>4.1477329239441037E-2</v>
      </c>
      <c r="O45" s="107">
        <f t="shared" si="4"/>
        <v>4.0506120011907454E-2</v>
      </c>
    </row>
    <row r="46" spans="2:18" x14ac:dyDescent="0.25">
      <c r="G46" s="8"/>
      <c r="H46" s="8"/>
      <c r="I46" s="8"/>
      <c r="J46" s="8"/>
      <c r="K46" s="8"/>
      <c r="L46" s="8"/>
      <c r="M46" s="8"/>
      <c r="N46" s="8"/>
      <c r="O46" s="8"/>
    </row>
    <row r="47" spans="2:18" ht="13" x14ac:dyDescent="0.3">
      <c r="C47" s="7" t="s">
        <v>196</v>
      </c>
      <c r="D47" s="168" t="s">
        <v>16</v>
      </c>
      <c r="E47" s="168" t="s">
        <v>56</v>
      </c>
      <c r="F47" s="7"/>
      <c r="G47" s="172">
        <f>+Ingresos!G252</f>
        <v>5429.5731999999998</v>
      </c>
      <c r="H47" s="172">
        <f>+Ingresos!H252</f>
        <v>4059.1874700000003</v>
      </c>
      <c r="I47" s="172">
        <f>+Ingresos!I252</f>
        <v>6599.0725499999999</v>
      </c>
      <c r="J47" s="172">
        <f>+Ingresos!J252</f>
        <v>4103.17749</v>
      </c>
      <c r="K47" s="172">
        <f>+Ingresos!K252</f>
        <v>4631.1377899999998</v>
      </c>
      <c r="L47" s="172">
        <f>+Ingresos!L252</f>
        <v>4454.4290599999995</v>
      </c>
      <c r="M47" s="172">
        <f>+Ingresos!M252</f>
        <v>3957.64723</v>
      </c>
      <c r="N47" s="172">
        <f>+Ingresos!N252</f>
        <v>6236.1438200000002</v>
      </c>
      <c r="O47" s="172">
        <f>+Ingresos!O252</f>
        <v>8841.1057000000001</v>
      </c>
    </row>
    <row r="48" spans="2:18" x14ac:dyDescent="0.25">
      <c r="G48" s="8"/>
      <c r="H48" s="8"/>
      <c r="I48" s="8"/>
      <c r="J48" s="8"/>
      <c r="K48" s="8"/>
      <c r="L48" s="8"/>
      <c r="M48" s="8"/>
      <c r="N48" s="8"/>
      <c r="O48" s="8"/>
    </row>
    <row r="49" spans="2:15" ht="13" x14ac:dyDescent="0.3">
      <c r="B49" s="3" t="s">
        <v>199</v>
      </c>
      <c r="C49" s="95"/>
      <c r="D49" s="2"/>
      <c r="E49" s="2"/>
      <c r="F49" s="1"/>
      <c r="G49" s="146"/>
      <c r="H49" s="146"/>
      <c r="I49" s="146"/>
      <c r="J49" s="96"/>
      <c r="K49" s="96"/>
      <c r="L49" s="96"/>
      <c r="M49" s="96"/>
      <c r="N49" s="96"/>
      <c r="O49" s="96"/>
    </row>
    <row r="50" spans="2:15" x14ac:dyDescent="0.25">
      <c r="G50" s="8"/>
      <c r="H50" s="8"/>
      <c r="I50" s="8"/>
      <c r="J50" s="8"/>
      <c r="K50" s="8"/>
      <c r="L50" s="8"/>
      <c r="M50" s="8"/>
      <c r="N50" s="8"/>
      <c r="O50" s="8"/>
    </row>
    <row r="51" spans="2:15" ht="13" x14ac:dyDescent="0.3">
      <c r="B51" s="7" t="s">
        <v>246</v>
      </c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25">
      <c r="C52" s="5" t="s">
        <v>11</v>
      </c>
      <c r="D52" s="94" t="str">
        <f t="shared" ref="D52:E65" si="5">+D7</f>
        <v>APMT</v>
      </c>
      <c r="E52" s="94" t="str">
        <f t="shared" si="5"/>
        <v>US$ miles</v>
      </c>
      <c r="G52" s="163">
        <f t="shared" ref="G52:O52" si="6">+(G7/G$37)*G$47</f>
        <v>585.43951101196933</v>
      </c>
      <c r="H52" s="163">
        <f t="shared" si="6"/>
        <v>429.13397529850806</v>
      </c>
      <c r="I52" s="163">
        <f t="shared" si="6"/>
        <v>722.7336822420649</v>
      </c>
      <c r="J52" s="163">
        <f t="shared" si="6"/>
        <v>385.56179950166393</v>
      </c>
      <c r="K52" s="163">
        <f t="shared" si="6"/>
        <v>417.78204035133399</v>
      </c>
      <c r="L52" s="163">
        <f t="shared" si="6"/>
        <v>303.47435920042312</v>
      </c>
      <c r="M52" s="163">
        <f t="shared" si="6"/>
        <v>263.24788965132365</v>
      </c>
      <c r="N52" s="163">
        <f t="shared" si="6"/>
        <v>405.56505227145584</v>
      </c>
      <c r="O52" s="163">
        <f t="shared" si="6"/>
        <v>600.75919259455929</v>
      </c>
    </row>
    <row r="53" spans="2:15" x14ac:dyDescent="0.25">
      <c r="C53" s="5" t="s">
        <v>12</v>
      </c>
      <c r="D53" s="94" t="str">
        <f t="shared" si="5"/>
        <v>APMT</v>
      </c>
      <c r="E53" s="94" t="str">
        <f t="shared" si="5"/>
        <v>US$ miles</v>
      </c>
      <c r="G53" s="163">
        <f t="shared" ref="G53:O53" si="7">+(G8/G$37)*G$47</f>
        <v>451.99474055485069</v>
      </c>
      <c r="H53" s="163">
        <f t="shared" si="7"/>
        <v>304.35354060655789</v>
      </c>
      <c r="I53" s="163">
        <f t="shared" si="7"/>
        <v>501.36273892098694</v>
      </c>
      <c r="J53" s="163">
        <f t="shared" si="7"/>
        <v>334.47786221186078</v>
      </c>
      <c r="K53" s="163">
        <f t="shared" si="7"/>
        <v>463.92683068244264</v>
      </c>
      <c r="L53" s="163">
        <f t="shared" si="7"/>
        <v>463.67389210896812</v>
      </c>
      <c r="M53" s="163">
        <f t="shared" si="7"/>
        <v>393.09656465279153</v>
      </c>
      <c r="N53" s="163">
        <f t="shared" si="7"/>
        <v>522.43993911833354</v>
      </c>
      <c r="O53" s="163">
        <f t="shared" si="7"/>
        <v>625.91881134930247</v>
      </c>
    </row>
    <row r="54" spans="2:15" x14ac:dyDescent="0.25">
      <c r="C54" s="5" t="s">
        <v>13</v>
      </c>
      <c r="D54" s="94" t="str">
        <f t="shared" si="5"/>
        <v>APMT</v>
      </c>
      <c r="E54" s="94" t="str">
        <f t="shared" si="5"/>
        <v>US$ miles</v>
      </c>
      <c r="G54" s="163">
        <f t="shared" ref="G54:O54" si="8">+(G9/G$37)*G$47</f>
        <v>697.59733522307351</v>
      </c>
      <c r="H54" s="163">
        <f t="shared" si="8"/>
        <v>452.59182332832387</v>
      </c>
      <c r="I54" s="163">
        <f t="shared" si="8"/>
        <v>893.12115202881785</v>
      </c>
      <c r="J54" s="163">
        <f t="shared" si="8"/>
        <v>597.68886757848509</v>
      </c>
      <c r="K54" s="163">
        <f t="shared" si="8"/>
        <v>755.85781724208823</v>
      </c>
      <c r="L54" s="163">
        <f t="shared" si="8"/>
        <v>752.11271826420614</v>
      </c>
      <c r="M54" s="163">
        <f t="shared" si="8"/>
        <v>655.95422698872756</v>
      </c>
      <c r="N54" s="163">
        <f t="shared" si="8"/>
        <v>1088.4706710739583</v>
      </c>
      <c r="O54" s="163">
        <f t="shared" si="8"/>
        <v>1666.5936486400888</v>
      </c>
    </row>
    <row r="55" spans="2:15" x14ac:dyDescent="0.25">
      <c r="C55" s="5" t="s">
        <v>14</v>
      </c>
      <c r="D55" s="94" t="str">
        <f t="shared" si="5"/>
        <v>APMT</v>
      </c>
      <c r="E55" s="94" t="str">
        <f t="shared" si="5"/>
        <v>US$ miles</v>
      </c>
      <c r="G55" s="163">
        <f t="shared" ref="G55:O55" si="9">+(G10/G$37)*G$47</f>
        <v>123.68324769409158</v>
      </c>
      <c r="H55" s="163">
        <f t="shared" si="9"/>
        <v>64.189117275642261</v>
      </c>
      <c r="I55" s="163">
        <f t="shared" si="9"/>
        <v>88.629842866424866</v>
      </c>
      <c r="J55" s="163">
        <f t="shared" si="9"/>
        <v>75.772974383347687</v>
      </c>
      <c r="K55" s="163">
        <f t="shared" si="9"/>
        <v>96.204684942420002</v>
      </c>
      <c r="L55" s="163">
        <f t="shared" si="9"/>
        <v>102.7016593924786</v>
      </c>
      <c r="M55" s="163">
        <f t="shared" si="9"/>
        <v>69.738840743117763</v>
      </c>
      <c r="N55" s="163">
        <f t="shared" si="9"/>
        <v>104.95258857997135</v>
      </c>
      <c r="O55" s="163">
        <f t="shared" si="9"/>
        <v>112.99736392587965</v>
      </c>
    </row>
    <row r="56" spans="2:15" x14ac:dyDescent="0.25">
      <c r="C56" s="5" t="s">
        <v>15</v>
      </c>
      <c r="D56" s="94" t="str">
        <f t="shared" si="5"/>
        <v>APMT</v>
      </c>
      <c r="E56" s="94" t="str">
        <f t="shared" si="5"/>
        <v>US$ miles</v>
      </c>
      <c r="G56" s="163">
        <f t="shared" ref="G56:O56" si="10">+(G11/G$37)*G$47</f>
        <v>292.64704045320241</v>
      </c>
      <c r="H56" s="163">
        <f t="shared" si="10"/>
        <v>106.60925772501695</v>
      </c>
      <c r="I56" s="163">
        <f t="shared" si="10"/>
        <v>296.18146116943706</v>
      </c>
      <c r="J56" s="163">
        <f t="shared" si="10"/>
        <v>171.05008691831941</v>
      </c>
      <c r="K56" s="163">
        <f t="shared" si="10"/>
        <v>275.57026361858846</v>
      </c>
      <c r="L56" s="163">
        <f t="shared" si="10"/>
        <v>390.30011122662955</v>
      </c>
      <c r="M56" s="163">
        <f t="shared" si="10"/>
        <v>363.04837044204601</v>
      </c>
      <c r="N56" s="163">
        <f t="shared" si="10"/>
        <v>556.13430514471418</v>
      </c>
      <c r="O56" s="163">
        <f t="shared" si="10"/>
        <v>756.6160719535103</v>
      </c>
    </row>
    <row r="57" spans="2:15" x14ac:dyDescent="0.25">
      <c r="C57" s="5" t="s">
        <v>297</v>
      </c>
      <c r="D57" s="94" t="str">
        <f t="shared" si="5"/>
        <v>APMT</v>
      </c>
      <c r="E57" s="94" t="str">
        <f t="shared" si="5"/>
        <v>US$ miles</v>
      </c>
      <c r="G57" s="163">
        <f t="shared" ref="G57:O57" si="11">+(G12/G$37)*G$47</f>
        <v>23.272187498634644</v>
      </c>
      <c r="H57" s="163">
        <f t="shared" si="11"/>
        <v>38.803483252597232</v>
      </c>
      <c r="I57" s="163">
        <f t="shared" si="11"/>
        <v>30.360266142075528</v>
      </c>
      <c r="J57" s="163">
        <f t="shared" si="11"/>
        <v>41.137629745637419</v>
      </c>
      <c r="K57" s="163">
        <f t="shared" si="11"/>
        <v>30.484928400211629</v>
      </c>
      <c r="L57" s="163">
        <f t="shared" si="11"/>
        <v>67.175601896268304</v>
      </c>
      <c r="M57" s="163">
        <f t="shared" si="11"/>
        <v>55.278051217711152</v>
      </c>
      <c r="N57" s="163">
        <f t="shared" si="11"/>
        <v>88.913827279491116</v>
      </c>
      <c r="O57" s="163">
        <f t="shared" si="11"/>
        <v>114.88164816437749</v>
      </c>
    </row>
    <row r="58" spans="2:15" x14ac:dyDescent="0.25">
      <c r="C58" s="5" t="s">
        <v>298</v>
      </c>
      <c r="D58" s="94" t="str">
        <f t="shared" si="5"/>
        <v>APMT</v>
      </c>
      <c r="E58" s="94" t="str">
        <f t="shared" si="5"/>
        <v>US$ miles</v>
      </c>
      <c r="G58" s="163">
        <f t="shared" ref="G58:O58" si="12">+(G13/G$37)*G$47</f>
        <v>24.424886146251087</v>
      </c>
      <c r="H58" s="163">
        <f t="shared" si="12"/>
        <v>35.379859517257344</v>
      </c>
      <c r="I58" s="163">
        <f t="shared" si="12"/>
        <v>54.911453824126347</v>
      </c>
      <c r="J58" s="163">
        <f t="shared" si="12"/>
        <v>59.790517608915117</v>
      </c>
      <c r="K58" s="163">
        <f t="shared" si="12"/>
        <v>28.159194191875919</v>
      </c>
      <c r="L58" s="163">
        <f t="shared" si="12"/>
        <v>77.848806843496249</v>
      </c>
      <c r="M58" s="163">
        <f t="shared" si="12"/>
        <v>102.72591280065109</v>
      </c>
      <c r="N58" s="163">
        <f t="shared" si="12"/>
        <v>137.28921912623807</v>
      </c>
      <c r="O58" s="163">
        <f t="shared" si="12"/>
        <v>186.35519576806382</v>
      </c>
    </row>
    <row r="59" spans="2:15" x14ac:dyDescent="0.25">
      <c r="C59" s="5" t="s">
        <v>299</v>
      </c>
      <c r="D59" s="94" t="str">
        <f t="shared" si="5"/>
        <v>APMT</v>
      </c>
      <c r="E59" s="94" t="str">
        <f t="shared" si="5"/>
        <v>US$ miles</v>
      </c>
      <c r="G59" s="163">
        <f t="shared" ref="G59:O59" si="13">+(G14/G$37)*G$47</f>
        <v>13.300990788588564</v>
      </c>
      <c r="H59" s="163">
        <f t="shared" si="13"/>
        <v>7.3712705887663983</v>
      </c>
      <c r="I59" s="163">
        <f t="shared" si="13"/>
        <v>2.6158577165174481</v>
      </c>
      <c r="J59" s="163">
        <f t="shared" si="13"/>
        <v>0.26073682341277693</v>
      </c>
      <c r="K59" s="163">
        <f t="shared" si="13"/>
        <v>1.7119766870857769</v>
      </c>
      <c r="L59" s="163">
        <f t="shared" si="13"/>
        <v>6.5733789043176811</v>
      </c>
      <c r="M59" s="163">
        <f t="shared" si="13"/>
        <v>5.1075114943959958</v>
      </c>
      <c r="N59" s="163">
        <f t="shared" si="13"/>
        <v>3.4810742582628502</v>
      </c>
      <c r="O59" s="163">
        <f t="shared" si="13"/>
        <v>5.2918552106939787</v>
      </c>
    </row>
    <row r="60" spans="2:15" x14ac:dyDescent="0.25">
      <c r="C60" s="5" t="s">
        <v>300</v>
      </c>
      <c r="D60" s="94" t="str">
        <f t="shared" si="5"/>
        <v>APMT</v>
      </c>
      <c r="E60" s="94" t="str">
        <f t="shared" si="5"/>
        <v>US$ miles</v>
      </c>
      <c r="G60" s="163">
        <f t="shared" ref="G60:O60" si="14">+(G15/G$37)*G$47</f>
        <v>76.735781578320342</v>
      </c>
      <c r="H60" s="163">
        <f t="shared" si="14"/>
        <v>28.954826883441093</v>
      </c>
      <c r="I60" s="163">
        <f t="shared" si="14"/>
        <v>16.06300321094167</v>
      </c>
      <c r="J60" s="163">
        <f t="shared" si="14"/>
        <v>4.870192515848081</v>
      </c>
      <c r="K60" s="163">
        <f t="shared" si="14"/>
        <v>12.203202638991806</v>
      </c>
      <c r="L60" s="163">
        <f t="shared" si="14"/>
        <v>71.355551780457489</v>
      </c>
      <c r="M60" s="163">
        <f t="shared" si="14"/>
        <v>41.26120486361468</v>
      </c>
      <c r="N60" s="163">
        <f t="shared" si="14"/>
        <v>47.732480513880517</v>
      </c>
      <c r="O60" s="163">
        <f t="shared" si="14"/>
        <v>27.46805188604889</v>
      </c>
    </row>
    <row r="61" spans="2:15" x14ac:dyDescent="0.25">
      <c r="C61" s="5" t="s">
        <v>263</v>
      </c>
      <c r="D61" s="94" t="str">
        <f t="shared" si="5"/>
        <v>APMT</v>
      </c>
      <c r="E61" s="94" t="str">
        <f t="shared" si="5"/>
        <v>US$ miles</v>
      </c>
      <c r="G61" s="163">
        <f t="shared" ref="G61:O61" si="15">+(G16/G$37)*G$47</f>
        <v>713.93841948123702</v>
      </c>
      <c r="H61" s="163">
        <f t="shared" si="15"/>
        <v>580.97775028919989</v>
      </c>
      <c r="I61" s="163">
        <f t="shared" si="15"/>
        <v>873.32437595064687</v>
      </c>
      <c r="J61" s="163">
        <f t="shared" si="15"/>
        <v>585.87467886600302</v>
      </c>
      <c r="K61" s="163">
        <f t="shared" si="15"/>
        <v>598.65581960888983</v>
      </c>
      <c r="L61" s="163">
        <f t="shared" si="15"/>
        <v>500.60465047712523</v>
      </c>
      <c r="M61" s="163">
        <f t="shared" si="15"/>
        <v>396.02904755542534</v>
      </c>
      <c r="N61" s="163">
        <f t="shared" si="15"/>
        <v>781.55376362485481</v>
      </c>
      <c r="O61" s="163">
        <f t="shared" si="15"/>
        <v>1168.9627708519613</v>
      </c>
    </row>
    <row r="62" spans="2:15" x14ac:dyDescent="0.25">
      <c r="C62" s="5" t="s">
        <v>264</v>
      </c>
      <c r="D62" s="94" t="str">
        <f t="shared" si="5"/>
        <v>APMT</v>
      </c>
      <c r="E62" s="94" t="str">
        <f t="shared" si="5"/>
        <v>US$ miles</v>
      </c>
      <c r="G62" s="163">
        <f t="shared" ref="G62:O62" si="16">+(G17/G$37)*G$47</f>
        <v>559.14952121959038</v>
      </c>
      <c r="H62" s="163">
        <f t="shared" si="16"/>
        <v>572.47400621718782</v>
      </c>
      <c r="I62" s="163">
        <f t="shared" si="16"/>
        <v>779.92728726897508</v>
      </c>
      <c r="J62" s="163">
        <f t="shared" si="16"/>
        <v>409.93515785771865</v>
      </c>
      <c r="K62" s="163">
        <f t="shared" si="16"/>
        <v>420.27767066817103</v>
      </c>
      <c r="L62" s="163">
        <f t="shared" si="16"/>
        <v>287.81573422944166</v>
      </c>
      <c r="M62" s="163">
        <f t="shared" si="16"/>
        <v>273.5573857348665</v>
      </c>
      <c r="N62" s="163">
        <f t="shared" si="16"/>
        <v>354.43970401449866</v>
      </c>
      <c r="O62" s="163">
        <f t="shared" si="16"/>
        <v>507.45414502688578</v>
      </c>
    </row>
    <row r="63" spans="2:15" x14ac:dyDescent="0.25">
      <c r="C63" s="5" t="s">
        <v>265</v>
      </c>
      <c r="D63" s="94" t="str">
        <f t="shared" si="5"/>
        <v>APMT</v>
      </c>
      <c r="E63" s="94" t="str">
        <f t="shared" si="5"/>
        <v>US$ miles</v>
      </c>
      <c r="G63" s="163">
        <f t="shared" ref="G63:O63" si="17">+(G18/G$37)*G$47</f>
        <v>1430.9043120559909</v>
      </c>
      <c r="H63" s="163">
        <f t="shared" si="17"/>
        <v>981.3962310919303</v>
      </c>
      <c r="I63" s="163">
        <f t="shared" si="17"/>
        <v>1543.4965388895466</v>
      </c>
      <c r="J63" s="163">
        <f t="shared" si="17"/>
        <v>868.16697576775039</v>
      </c>
      <c r="K63" s="163">
        <f t="shared" si="17"/>
        <v>698.91132715991273</v>
      </c>
      <c r="L63" s="163">
        <f t="shared" si="17"/>
        <v>679.16477172144414</v>
      </c>
      <c r="M63" s="163">
        <f t="shared" si="17"/>
        <v>644.97155723878461</v>
      </c>
      <c r="N63" s="163">
        <f t="shared" si="17"/>
        <v>924.15841549401148</v>
      </c>
      <c r="O63" s="163">
        <f t="shared" si="17"/>
        <v>1507.6594430757618</v>
      </c>
    </row>
    <row r="64" spans="2:15" x14ac:dyDescent="0.25">
      <c r="C64" s="5" t="s">
        <v>266</v>
      </c>
      <c r="D64" s="94" t="str">
        <f t="shared" si="5"/>
        <v>APMT</v>
      </c>
      <c r="E64" s="94" t="str">
        <f t="shared" si="5"/>
        <v>US$ miles</v>
      </c>
      <c r="G64" s="163">
        <f t="shared" ref="G64:O64" si="18">+(G19/G$37)*G$47</f>
        <v>179.67737594627198</v>
      </c>
      <c r="H64" s="163">
        <f t="shared" si="18"/>
        <v>140.34893682218927</v>
      </c>
      <c r="I64" s="163">
        <f t="shared" si="18"/>
        <v>232.56014121337526</v>
      </c>
      <c r="J64" s="163">
        <f t="shared" si="18"/>
        <v>126.19997038141007</v>
      </c>
      <c r="K64" s="163">
        <f t="shared" si="18"/>
        <v>130.19584561371354</v>
      </c>
      <c r="L64" s="163">
        <f t="shared" si="18"/>
        <v>120.58047426325554</v>
      </c>
      <c r="M64" s="163">
        <f t="shared" si="18"/>
        <v>99.767174959936952</v>
      </c>
      <c r="N64" s="163">
        <f t="shared" si="18"/>
        <v>147.48898168943086</v>
      </c>
      <c r="O64" s="163">
        <f t="shared" si="18"/>
        <v>283.29574906378514</v>
      </c>
    </row>
    <row r="65" spans="3:15" x14ac:dyDescent="0.25">
      <c r="C65" s="5" t="s">
        <v>267</v>
      </c>
      <c r="D65" s="94" t="str">
        <f t="shared" si="5"/>
        <v>APMT</v>
      </c>
      <c r="E65" s="94" t="str">
        <f t="shared" si="5"/>
        <v>US$ miles</v>
      </c>
      <c r="G65" s="163">
        <f t="shared" ref="G65:O65" si="19">+(G20/G$37)*G$47</f>
        <v>4.0174452167138819</v>
      </c>
      <c r="H65" s="163">
        <f t="shared" si="19"/>
        <v>6.5271794723970604</v>
      </c>
      <c r="I65" s="163">
        <f t="shared" si="19"/>
        <v>14.116474009977473</v>
      </c>
      <c r="J65" s="163">
        <f t="shared" si="19"/>
        <v>6.5142577878851196</v>
      </c>
      <c r="K65" s="163">
        <f t="shared" si="19"/>
        <v>11.142306297715612</v>
      </c>
      <c r="L65" s="163">
        <f t="shared" si="19"/>
        <v>7.6876520484999</v>
      </c>
      <c r="M65" s="163">
        <f t="shared" si="19"/>
        <v>7.5565689360841439</v>
      </c>
      <c r="N65" s="163">
        <f t="shared" si="19"/>
        <v>9.0996931419441651</v>
      </c>
      <c r="O65" s="163">
        <f t="shared" si="19"/>
        <v>20.941946187904858</v>
      </c>
    </row>
    <row r="66" spans="3:15" x14ac:dyDescent="0.25">
      <c r="C66" s="5"/>
      <c r="D66" s="94"/>
      <c r="E66" s="94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3:15" x14ac:dyDescent="0.25">
      <c r="C67" s="5" t="s">
        <v>18</v>
      </c>
      <c r="D67" s="94" t="str">
        <f t="shared" ref="D67:E81" si="20">+D22</f>
        <v>APMT</v>
      </c>
      <c r="E67" s="94" t="str">
        <f t="shared" si="20"/>
        <v>US$ miles</v>
      </c>
      <c r="G67" s="163">
        <f t="shared" ref="G67:O67" si="21">+(G22/G$37)*G$47</f>
        <v>101.61135545471436</v>
      </c>
      <c r="H67" s="163">
        <f t="shared" si="21"/>
        <v>122.634364830358</v>
      </c>
      <c r="I67" s="163">
        <f t="shared" si="21"/>
        <v>132.09534775886166</v>
      </c>
      <c r="J67" s="163">
        <f t="shared" si="21"/>
        <v>148.52229630468261</v>
      </c>
      <c r="K67" s="163">
        <f t="shared" si="21"/>
        <v>252.21034999800474</v>
      </c>
      <c r="L67" s="163">
        <f t="shared" si="21"/>
        <v>333.19558348070331</v>
      </c>
      <c r="M67" s="163">
        <f t="shared" si="21"/>
        <v>334.12491837854702</v>
      </c>
      <c r="N67" s="163">
        <f t="shared" si="21"/>
        <v>625.83824763694179</v>
      </c>
      <c r="O67" s="163">
        <f t="shared" si="21"/>
        <v>668.6283721899639</v>
      </c>
    </row>
    <row r="68" spans="3:15" x14ac:dyDescent="0.25">
      <c r="C68" s="5" t="s">
        <v>19</v>
      </c>
      <c r="D68" s="94" t="str">
        <f t="shared" si="20"/>
        <v>APMT</v>
      </c>
      <c r="E68" s="94" t="str">
        <f t="shared" si="20"/>
        <v>US$ miles</v>
      </c>
      <c r="G68" s="163">
        <f t="shared" ref="G68:O68" si="22">+(G23/G$37)*G$47</f>
        <v>50.050128707248859</v>
      </c>
      <c r="H68" s="163">
        <f t="shared" si="22"/>
        <v>30.741441045232634</v>
      </c>
      <c r="I68" s="163">
        <f t="shared" si="22"/>
        <v>11.375483678071292</v>
      </c>
      <c r="J68" s="163">
        <f t="shared" si="22"/>
        <v>19.545709866438564</v>
      </c>
      <c r="K68" s="163">
        <f t="shared" si="22"/>
        <v>68.744637575287626</v>
      </c>
      <c r="L68" s="163">
        <f t="shared" si="22"/>
        <v>26.49541889269506</v>
      </c>
      <c r="M68" s="163">
        <f t="shared" si="22"/>
        <v>37.752156978493325</v>
      </c>
      <c r="N68" s="163">
        <f t="shared" si="22"/>
        <v>30.86783366620449</v>
      </c>
      <c r="O68" s="163">
        <f t="shared" si="22"/>
        <v>43.770086367366375</v>
      </c>
    </row>
    <row r="69" spans="3:15" x14ac:dyDescent="0.25">
      <c r="C69" s="5" t="s">
        <v>20</v>
      </c>
      <c r="D69" s="94" t="str">
        <f t="shared" si="20"/>
        <v>APMT</v>
      </c>
      <c r="E69" s="94" t="str">
        <f t="shared" si="20"/>
        <v>US$ miles</v>
      </c>
      <c r="G69" s="163">
        <f t="shared" ref="G69:O69" si="23">+(G24/G$37)*G$47</f>
        <v>20.485064886398668</v>
      </c>
      <c r="H69" s="163">
        <f t="shared" si="23"/>
        <v>56.436873054262506</v>
      </c>
      <c r="I69" s="163">
        <f t="shared" si="23"/>
        <v>76.180391221290165</v>
      </c>
      <c r="J69" s="163">
        <f t="shared" si="23"/>
        <v>37.811106150111435</v>
      </c>
      <c r="K69" s="163">
        <f t="shared" si="23"/>
        <v>85.942286526821249</v>
      </c>
      <c r="L69" s="163">
        <f t="shared" si="23"/>
        <v>25.523993376550376</v>
      </c>
      <c r="M69" s="163">
        <f t="shared" si="23"/>
        <v>23.043582949507087</v>
      </c>
      <c r="N69" s="163">
        <f t="shared" si="23"/>
        <v>33.348467850885072</v>
      </c>
      <c r="O69" s="163">
        <f t="shared" si="23"/>
        <v>42.240099731792711</v>
      </c>
    </row>
    <row r="70" spans="3:15" x14ac:dyDescent="0.25">
      <c r="C70" s="5" t="s">
        <v>21</v>
      </c>
      <c r="D70" s="94" t="str">
        <f t="shared" si="20"/>
        <v>APMT</v>
      </c>
      <c r="E70" s="94" t="str">
        <f t="shared" si="20"/>
        <v>US$ miles</v>
      </c>
      <c r="G70" s="163">
        <f t="shared" ref="G70:O70" si="24">+(G25/G$37)*G$47</f>
        <v>33.900189458929404</v>
      </c>
      <c r="H70" s="163">
        <f t="shared" si="24"/>
        <v>38.841005595288003</v>
      </c>
      <c r="I70" s="163">
        <f t="shared" si="24"/>
        <v>25.918072792723855</v>
      </c>
      <c r="J70" s="163">
        <f t="shared" si="24"/>
        <v>6.45238698288858</v>
      </c>
      <c r="K70" s="163">
        <f t="shared" si="24"/>
        <v>1.3354426495317062</v>
      </c>
      <c r="L70" s="163">
        <f t="shared" si="24"/>
        <v>0</v>
      </c>
      <c r="M70" s="163">
        <f t="shared" si="24"/>
        <v>0</v>
      </c>
      <c r="N70" s="163">
        <f t="shared" si="24"/>
        <v>3.1762201434318575E-3</v>
      </c>
      <c r="O70" s="163">
        <f t="shared" si="24"/>
        <v>2.7641987384548061</v>
      </c>
    </row>
    <row r="71" spans="3:15" x14ac:dyDescent="0.25">
      <c r="C71" s="5" t="s">
        <v>22</v>
      </c>
      <c r="D71" s="94" t="str">
        <f t="shared" si="20"/>
        <v>APMT</v>
      </c>
      <c r="E71" s="94" t="str">
        <f t="shared" si="20"/>
        <v>US$ miles</v>
      </c>
      <c r="G71" s="163">
        <f t="shared" ref="G71:O71" si="25">+(G26/G$37)*G$47</f>
        <v>0</v>
      </c>
      <c r="H71" s="163">
        <f t="shared" si="25"/>
        <v>0</v>
      </c>
      <c r="I71" s="163">
        <f t="shared" si="25"/>
        <v>97.622362302566984</v>
      </c>
      <c r="J71" s="163">
        <f t="shared" si="25"/>
        <v>43.870096748964848</v>
      </c>
      <c r="K71" s="163">
        <f t="shared" si="25"/>
        <v>47.903164213061778</v>
      </c>
      <c r="L71" s="163">
        <f t="shared" si="25"/>
        <v>13.219090178748541</v>
      </c>
      <c r="M71" s="163">
        <f t="shared" si="25"/>
        <v>1.5821094793089998</v>
      </c>
      <c r="N71" s="163">
        <f t="shared" si="25"/>
        <v>-0.65644727569119721</v>
      </c>
      <c r="O71" s="163">
        <f t="shared" si="25"/>
        <v>1.1587665785000392</v>
      </c>
    </row>
    <row r="72" spans="3:15" x14ac:dyDescent="0.25">
      <c r="C72" s="5" t="s">
        <v>23</v>
      </c>
      <c r="D72" s="94" t="str">
        <f t="shared" si="20"/>
        <v>APMT</v>
      </c>
      <c r="E72" s="94" t="str">
        <f t="shared" si="20"/>
        <v>US$ miles</v>
      </c>
      <c r="G72" s="163">
        <f t="shared" ref="G72:O72" si="26">+(G27/G$37)*G$47</f>
        <v>0</v>
      </c>
      <c r="H72" s="163">
        <f t="shared" si="26"/>
        <v>0</v>
      </c>
      <c r="I72" s="163">
        <f t="shared" si="26"/>
        <v>32.886338322650815</v>
      </c>
      <c r="J72" s="163">
        <f t="shared" si="26"/>
        <v>13.243587644645729</v>
      </c>
      <c r="K72" s="163">
        <f t="shared" si="26"/>
        <v>13.336087769948202</v>
      </c>
      <c r="L72" s="163">
        <f t="shared" si="26"/>
        <v>0.78956167978862135</v>
      </c>
      <c r="M72" s="163">
        <f t="shared" si="26"/>
        <v>2.5399172772218108</v>
      </c>
      <c r="N72" s="163">
        <f t="shared" si="26"/>
        <v>-0.28268656584927415</v>
      </c>
      <c r="O72" s="163">
        <f t="shared" si="26"/>
        <v>0</v>
      </c>
    </row>
    <row r="73" spans="3:15" x14ac:dyDescent="0.25">
      <c r="C73" s="5" t="s">
        <v>24</v>
      </c>
      <c r="D73" s="94" t="str">
        <f t="shared" si="20"/>
        <v>APMT</v>
      </c>
      <c r="E73" s="94" t="str">
        <f t="shared" si="20"/>
        <v>US$ miles</v>
      </c>
      <c r="G73" s="163">
        <f t="shared" ref="G73:O73" si="27">+(G28/G$37)*G$47</f>
        <v>0</v>
      </c>
      <c r="H73" s="163">
        <f t="shared" si="27"/>
        <v>0</v>
      </c>
      <c r="I73" s="163">
        <f t="shared" si="27"/>
        <v>30.927056896044398</v>
      </c>
      <c r="J73" s="163">
        <f t="shared" si="27"/>
        <v>24.404478028893106</v>
      </c>
      <c r="K73" s="163">
        <f t="shared" si="27"/>
        <v>29.594804054803785</v>
      </c>
      <c r="L73" s="163">
        <f t="shared" si="27"/>
        <v>26.042262035297568</v>
      </c>
      <c r="M73" s="163">
        <f t="shared" si="27"/>
        <v>12.173757533812921</v>
      </c>
      <c r="N73" s="163">
        <f t="shared" si="27"/>
        <v>15.433420742767062</v>
      </c>
      <c r="O73" s="163">
        <f t="shared" si="27"/>
        <v>19.816078846594959</v>
      </c>
    </row>
    <row r="74" spans="3:15" x14ac:dyDescent="0.25">
      <c r="C74" s="5" t="s">
        <v>268</v>
      </c>
      <c r="D74" s="94" t="str">
        <f t="shared" si="20"/>
        <v>APMT</v>
      </c>
      <c r="E74" s="94" t="str">
        <f t="shared" si="20"/>
        <v>US$ miles</v>
      </c>
      <c r="G74" s="163">
        <f t="shared" ref="G74:O74" si="28">+(G29/G$37)*G$47</f>
        <v>5.9310239966070775</v>
      </c>
      <c r="H74" s="163">
        <f t="shared" si="28"/>
        <v>7.8952805334149927</v>
      </c>
      <c r="I74" s="163">
        <f t="shared" si="28"/>
        <v>26.018870704620248</v>
      </c>
      <c r="J74" s="163">
        <f t="shared" si="28"/>
        <v>13.061790640835886</v>
      </c>
      <c r="K74" s="163">
        <f t="shared" si="28"/>
        <v>15.639756534301609</v>
      </c>
      <c r="L74" s="163">
        <f t="shared" si="28"/>
        <v>12.637657835818048</v>
      </c>
      <c r="M74" s="163">
        <f t="shared" si="28"/>
        <v>4.5459924395628954</v>
      </c>
      <c r="N74" s="163">
        <f t="shared" si="28"/>
        <v>13.51501856783983</v>
      </c>
      <c r="O74" s="163">
        <f t="shared" si="28"/>
        <v>26.697842916651481</v>
      </c>
    </row>
    <row r="75" spans="3:15" x14ac:dyDescent="0.25">
      <c r="C75" s="5" t="s">
        <v>269</v>
      </c>
      <c r="D75" s="94" t="str">
        <f t="shared" si="20"/>
        <v>APMT</v>
      </c>
      <c r="E75" s="94" t="str">
        <f t="shared" si="20"/>
        <v>US$ miles</v>
      </c>
      <c r="G75" s="163">
        <f t="shared" ref="G75:O75" si="29">+(G30/G$37)*G$47</f>
        <v>0</v>
      </c>
      <c r="H75" s="163">
        <f t="shared" si="29"/>
        <v>0</v>
      </c>
      <c r="I75" s="163">
        <f t="shared" si="29"/>
        <v>25.139799710626512</v>
      </c>
      <c r="J75" s="163">
        <f t="shared" si="29"/>
        <v>17.13021067762303</v>
      </c>
      <c r="K75" s="163">
        <f t="shared" si="29"/>
        <v>59.251224784710587</v>
      </c>
      <c r="L75" s="163">
        <f t="shared" si="29"/>
        <v>68.718128982112589</v>
      </c>
      <c r="M75" s="163">
        <f t="shared" si="29"/>
        <v>54.38884608104572</v>
      </c>
      <c r="N75" s="163">
        <f t="shared" si="29"/>
        <v>88.825505580783229</v>
      </c>
      <c r="O75" s="163">
        <f t="shared" si="29"/>
        <v>120.40884886716485</v>
      </c>
    </row>
    <row r="76" spans="3:15" x14ac:dyDescent="0.25">
      <c r="C76" s="5" t="s">
        <v>25</v>
      </c>
      <c r="D76" s="94" t="str">
        <f t="shared" si="20"/>
        <v>APMT</v>
      </c>
      <c r="E76" s="94" t="str">
        <f t="shared" si="20"/>
        <v>US$ miles</v>
      </c>
      <c r="G76" s="163">
        <f t="shared" ref="G76:O76" si="30">+(G31/G$37)*G$47</f>
        <v>10.008490973883081</v>
      </c>
      <c r="H76" s="163">
        <f t="shared" si="30"/>
        <v>29.543630383101259</v>
      </c>
      <c r="I76" s="163">
        <f t="shared" si="30"/>
        <v>49.836422669022134</v>
      </c>
      <c r="J76" s="163">
        <f t="shared" si="30"/>
        <v>23.119942127742668</v>
      </c>
      <c r="K76" s="163">
        <f t="shared" si="30"/>
        <v>21.201644389672651</v>
      </c>
      <c r="L76" s="163">
        <f t="shared" si="30"/>
        <v>15.903571361534741</v>
      </c>
      <c r="M76" s="163">
        <f t="shared" si="30"/>
        <v>13.906324072792016</v>
      </c>
      <c r="N76" s="163">
        <f t="shared" si="30"/>
        <v>25.334204066022803</v>
      </c>
      <c r="O76" s="163">
        <f t="shared" si="30"/>
        <v>31.752994097315465</v>
      </c>
    </row>
    <row r="77" spans="3:15" x14ac:dyDescent="0.25">
      <c r="C77" s="5" t="s">
        <v>26</v>
      </c>
      <c r="D77" s="94" t="str">
        <f t="shared" si="20"/>
        <v>APMT</v>
      </c>
      <c r="E77" s="94" t="str">
        <f t="shared" si="20"/>
        <v>US$ miles</v>
      </c>
      <c r="G77" s="163">
        <f t="shared" ref="G77:O77" si="31">+(G32/G$37)*G$47</f>
        <v>0</v>
      </c>
      <c r="H77" s="163">
        <f t="shared" si="31"/>
        <v>0</v>
      </c>
      <c r="I77" s="163">
        <f t="shared" si="31"/>
        <v>16.041503606296935</v>
      </c>
      <c r="J77" s="163">
        <f t="shared" si="31"/>
        <v>17.559789276709481</v>
      </c>
      <c r="K77" s="163">
        <f t="shared" si="31"/>
        <v>14.597953328815894</v>
      </c>
      <c r="L77" s="163">
        <f t="shared" si="31"/>
        <v>12.519683198521049</v>
      </c>
      <c r="M77" s="163">
        <f t="shared" si="31"/>
        <v>7.0060064142962144</v>
      </c>
      <c r="N77" s="163">
        <f t="shared" si="31"/>
        <v>24.031221868503344</v>
      </c>
      <c r="O77" s="163">
        <f t="shared" si="31"/>
        <v>15.697022877666653</v>
      </c>
    </row>
    <row r="78" spans="3:15" x14ac:dyDescent="0.25">
      <c r="C78" s="5" t="s">
        <v>27</v>
      </c>
      <c r="D78" s="94" t="str">
        <f t="shared" si="20"/>
        <v>APMT</v>
      </c>
      <c r="E78" s="94" t="str">
        <f t="shared" si="20"/>
        <v>US$ miles</v>
      </c>
      <c r="G78" s="163">
        <f t="shared" ref="G78:O78" si="32">+(G33/G$37)*G$47</f>
        <v>14.268993978342353</v>
      </c>
      <c r="H78" s="163">
        <f t="shared" si="32"/>
        <v>10.026364291889767</v>
      </c>
      <c r="I78" s="163">
        <f t="shared" si="32"/>
        <v>8.273632787642601</v>
      </c>
      <c r="J78" s="163">
        <f t="shared" si="32"/>
        <v>12.659985495672576</v>
      </c>
      <c r="K78" s="163">
        <f t="shared" si="32"/>
        <v>9.0937733336943278</v>
      </c>
      <c r="L78" s="163">
        <f t="shared" si="32"/>
        <v>6.2352051822294774</v>
      </c>
      <c r="M78" s="163">
        <f t="shared" si="32"/>
        <v>2.8282639346682026</v>
      </c>
      <c r="N78" s="163">
        <f t="shared" si="32"/>
        <v>4.5939690181604078</v>
      </c>
      <c r="O78" s="163">
        <f t="shared" si="32"/>
        <v>7.5261425766946148</v>
      </c>
    </row>
    <row r="79" spans="3:15" x14ac:dyDescent="0.25">
      <c r="C79" s="5" t="s">
        <v>28</v>
      </c>
      <c r="D79" s="94" t="str">
        <f t="shared" si="20"/>
        <v>APMT</v>
      </c>
      <c r="E79" s="94" t="str">
        <f t="shared" si="20"/>
        <v>US$ miles</v>
      </c>
      <c r="G79" s="163">
        <f t="shared" ref="G79:O79" si="33">+(G34/G$37)*G$47</f>
        <v>0</v>
      </c>
      <c r="H79" s="163">
        <f t="shared" si="33"/>
        <v>0</v>
      </c>
      <c r="I79" s="163">
        <f t="shared" si="33"/>
        <v>0</v>
      </c>
      <c r="J79" s="163">
        <f t="shared" si="33"/>
        <v>19.536720011482608</v>
      </c>
      <c r="K79" s="163">
        <f t="shared" si="33"/>
        <v>18.785027476394504</v>
      </c>
      <c r="L79" s="163">
        <f t="shared" si="33"/>
        <v>16.999689011326062</v>
      </c>
      <c r="M79" s="163">
        <f t="shared" si="33"/>
        <v>14.695750887559587</v>
      </c>
      <c r="N79" s="163">
        <f t="shared" si="33"/>
        <v>19.88263854150663</v>
      </c>
      <c r="O79" s="163">
        <f t="shared" si="33"/>
        <v>31.011374680449446</v>
      </c>
    </row>
    <row r="80" spans="3:15" x14ac:dyDescent="0.25">
      <c r="C80" s="5" t="s">
        <v>270</v>
      </c>
      <c r="D80" s="94" t="str">
        <f t="shared" si="20"/>
        <v>APMT</v>
      </c>
      <c r="E80" s="94" t="str">
        <f t="shared" si="20"/>
        <v>US$ miles</v>
      </c>
      <c r="G80" s="163">
        <f t="shared" ref="G80:O80" si="34">+(G35/G$37)*G$47</f>
        <v>0</v>
      </c>
      <c r="H80" s="163">
        <f t="shared" si="34"/>
        <v>0</v>
      </c>
      <c r="I80" s="163">
        <f t="shared" si="34"/>
        <v>0</v>
      </c>
      <c r="J80" s="163">
        <f t="shared" si="34"/>
        <v>26.270089070296653</v>
      </c>
      <c r="K80" s="163">
        <f t="shared" si="34"/>
        <v>42.364913628728381</v>
      </c>
      <c r="L80" s="163">
        <f t="shared" si="34"/>
        <v>47.277235903836782</v>
      </c>
      <c r="M80" s="163">
        <f t="shared" si="34"/>
        <v>59.078426224968261</v>
      </c>
      <c r="N80" s="163">
        <f t="shared" si="34"/>
        <v>145.28015509546336</v>
      </c>
      <c r="O80" s="163">
        <f t="shared" si="34"/>
        <v>214.41200304744964</v>
      </c>
    </row>
    <row r="81" spans="2:15" x14ac:dyDescent="0.25">
      <c r="C81" s="5" t="s">
        <v>29</v>
      </c>
      <c r="D81" s="94" t="str">
        <f t="shared" si="20"/>
        <v>APMT</v>
      </c>
      <c r="E81" s="94" t="str">
        <f t="shared" si="20"/>
        <v>US$ miles</v>
      </c>
      <c r="G81" s="163">
        <f t="shared" ref="G81:O81" si="35">+(G36/G$37)*G$47</f>
        <v>16.535157675088836</v>
      </c>
      <c r="H81" s="163">
        <f t="shared" si="35"/>
        <v>13.957251897437645</v>
      </c>
      <c r="I81" s="163">
        <f t="shared" si="35"/>
        <v>17.352992095667602</v>
      </c>
      <c r="J81" s="163">
        <f t="shared" si="35"/>
        <v>12.687593024754305</v>
      </c>
      <c r="K81" s="163">
        <f t="shared" si="35"/>
        <v>10.052815632781801</v>
      </c>
      <c r="L81" s="163">
        <f t="shared" si="35"/>
        <v>17.802616523825805</v>
      </c>
      <c r="M81" s="163">
        <f t="shared" si="35"/>
        <v>18.64087006873968</v>
      </c>
      <c r="N81" s="163">
        <f t="shared" si="35"/>
        <v>38.409379655271252</v>
      </c>
      <c r="O81" s="163">
        <f t="shared" si="35"/>
        <v>30.025974785110527</v>
      </c>
    </row>
    <row r="82" spans="2:15" ht="13.5" thickBot="1" x14ac:dyDescent="0.35">
      <c r="C82" s="72" t="s">
        <v>200</v>
      </c>
      <c r="D82" s="75" t="str">
        <f>+D37</f>
        <v>APMT</v>
      </c>
      <c r="E82" s="75" t="s">
        <v>56</v>
      </c>
      <c r="F82" s="7"/>
      <c r="G82" s="165">
        <f t="shared" ref="G82:O82" si="36">+SUM(G52:G81)</f>
        <v>5429.5731999999989</v>
      </c>
      <c r="H82" s="165">
        <f t="shared" si="36"/>
        <v>4059.1874700000008</v>
      </c>
      <c r="I82" s="165">
        <f t="shared" si="36"/>
        <v>6599.0725499999999</v>
      </c>
      <c r="J82" s="165">
        <f t="shared" si="36"/>
        <v>4103.17749</v>
      </c>
      <c r="K82" s="165">
        <f t="shared" si="36"/>
        <v>4631.1377899999998</v>
      </c>
      <c r="L82" s="165">
        <f t="shared" si="36"/>
        <v>4454.4290600000013</v>
      </c>
      <c r="M82" s="165">
        <f t="shared" si="36"/>
        <v>3957.6472300000009</v>
      </c>
      <c r="N82" s="165">
        <f t="shared" si="36"/>
        <v>6236.1438199999984</v>
      </c>
      <c r="O82" s="165">
        <f t="shared" si="36"/>
        <v>8841.1057000000019</v>
      </c>
    </row>
    <row r="83" spans="2:15" x14ac:dyDescent="0.25">
      <c r="G83" s="8"/>
      <c r="H83" s="8"/>
      <c r="I83" s="8"/>
      <c r="J83" s="8"/>
      <c r="K83" s="8"/>
      <c r="L83" s="8"/>
      <c r="M83" s="8"/>
      <c r="N83" s="8"/>
      <c r="O83" s="8"/>
    </row>
    <row r="84" spans="2:15" ht="13" x14ac:dyDescent="0.3">
      <c r="B84" s="3" t="s">
        <v>293</v>
      </c>
      <c r="C84" s="95"/>
      <c r="D84" s="2"/>
      <c r="E84" s="2"/>
      <c r="F84" s="1"/>
      <c r="G84" s="146"/>
      <c r="H84" s="146"/>
      <c r="I84" s="146"/>
      <c r="J84" s="96"/>
      <c r="K84" s="96"/>
      <c r="L84" s="96"/>
      <c r="M84" s="96"/>
      <c r="N84" s="96"/>
      <c r="O84" s="96"/>
    </row>
    <row r="85" spans="2:15" x14ac:dyDescent="0.25">
      <c r="G85" s="8"/>
      <c r="H85" s="8"/>
      <c r="I85" s="8"/>
      <c r="J85" s="8"/>
      <c r="K85" s="8"/>
      <c r="L85" s="8"/>
      <c r="M85" s="8"/>
      <c r="N85" s="8"/>
      <c r="O85" s="8"/>
    </row>
    <row r="86" spans="2:15" ht="13" x14ac:dyDescent="0.3">
      <c r="B86" s="7" t="s">
        <v>246</v>
      </c>
      <c r="G86" s="8"/>
      <c r="H86" s="8"/>
      <c r="I86" s="8"/>
      <c r="J86" s="8"/>
      <c r="K86" s="8"/>
      <c r="L86" s="8"/>
      <c r="M86" s="8"/>
      <c r="N86" s="8"/>
      <c r="O86" s="8"/>
    </row>
    <row r="87" spans="2:15" x14ac:dyDescent="0.25">
      <c r="C87" s="5" t="s">
        <v>11</v>
      </c>
      <c r="D87" s="94" t="str">
        <f t="shared" ref="D87:E100" si="37">+D52</f>
        <v>APMT</v>
      </c>
      <c r="E87" s="94" t="str">
        <f t="shared" si="37"/>
        <v>US$ miles</v>
      </c>
      <c r="G87" s="163">
        <f t="shared" ref="G87:O87" si="38">+G7*(1-G$45)-G52</f>
        <v>8969.4659211165235</v>
      </c>
      <c r="H87" s="163">
        <f t="shared" si="38"/>
        <v>8949.697664726933</v>
      </c>
      <c r="I87" s="163">
        <f t="shared" si="38"/>
        <v>10260.69760883478</v>
      </c>
      <c r="J87" s="163">
        <f t="shared" si="38"/>
        <v>8668.6883341434186</v>
      </c>
      <c r="K87" s="163">
        <f t="shared" si="38"/>
        <v>9376.3043846288892</v>
      </c>
      <c r="L87" s="163">
        <f t="shared" si="38"/>
        <v>8452.3622898036519</v>
      </c>
      <c r="M87" s="163">
        <f t="shared" si="38"/>
        <v>9979.1563322516176</v>
      </c>
      <c r="N87" s="163">
        <f t="shared" si="38"/>
        <v>11438.289327687989</v>
      </c>
      <c r="O87" s="163">
        <f t="shared" si="38"/>
        <v>11835.411718272111</v>
      </c>
    </row>
    <row r="88" spans="2:15" x14ac:dyDescent="0.25">
      <c r="C88" s="5" t="s">
        <v>12</v>
      </c>
      <c r="D88" s="94" t="str">
        <f t="shared" si="37"/>
        <v>APMT</v>
      </c>
      <c r="E88" s="94" t="str">
        <f t="shared" si="37"/>
        <v>US$ miles</v>
      </c>
      <c r="G88" s="163">
        <f t="shared" ref="G88:O88" si="39">+G8*(1-G$45)-G53</f>
        <v>6924.9706343235694</v>
      </c>
      <c r="H88" s="163">
        <f t="shared" si="39"/>
        <v>6347.3701184417841</v>
      </c>
      <c r="I88" s="163">
        <f t="shared" si="39"/>
        <v>7117.8797706600308</v>
      </c>
      <c r="J88" s="163">
        <f t="shared" si="39"/>
        <v>7520.1546053907632</v>
      </c>
      <c r="K88" s="163">
        <f t="shared" si="39"/>
        <v>10411.934349826775</v>
      </c>
      <c r="L88" s="163">
        <f t="shared" si="39"/>
        <v>12914.236743935318</v>
      </c>
      <c r="M88" s="163">
        <f t="shared" si="39"/>
        <v>14901.437871114716</v>
      </c>
      <c r="N88" s="163">
        <f t="shared" si="39"/>
        <v>14734.551575650599</v>
      </c>
      <c r="O88" s="163">
        <f t="shared" si="39"/>
        <v>12331.075289146687</v>
      </c>
    </row>
    <row r="89" spans="2:15" x14ac:dyDescent="0.25">
      <c r="C89" s="5" t="s">
        <v>13</v>
      </c>
      <c r="D89" s="94" t="str">
        <f t="shared" si="37"/>
        <v>APMT</v>
      </c>
      <c r="E89" s="94" t="str">
        <f t="shared" si="37"/>
        <v>US$ miles</v>
      </c>
      <c r="G89" s="163">
        <f t="shared" ref="G89:O89" si="40">+G9*(1-G$45)-G54</f>
        <v>10687.825825300561</v>
      </c>
      <c r="H89" s="163">
        <f t="shared" si="40"/>
        <v>9438.9170223551082</v>
      </c>
      <c r="I89" s="163">
        <f t="shared" si="40"/>
        <v>12679.699720916768</v>
      </c>
      <c r="J89" s="163">
        <f t="shared" si="40"/>
        <v>13437.997541565695</v>
      </c>
      <c r="K89" s="163">
        <f t="shared" si="40"/>
        <v>16963.756891040764</v>
      </c>
      <c r="L89" s="163">
        <f t="shared" si="40"/>
        <v>20947.82964296389</v>
      </c>
      <c r="M89" s="163">
        <f t="shared" si="40"/>
        <v>24865.801532509497</v>
      </c>
      <c r="N89" s="163">
        <f t="shared" si="40"/>
        <v>30698.509131189516</v>
      </c>
      <c r="O89" s="163">
        <f t="shared" si="40"/>
        <v>32833.158846101382</v>
      </c>
    </row>
    <row r="90" spans="2:15" x14ac:dyDescent="0.25">
      <c r="C90" s="5" t="s">
        <v>14</v>
      </c>
      <c r="D90" s="94" t="str">
        <f t="shared" si="37"/>
        <v>APMT</v>
      </c>
      <c r="E90" s="94" t="str">
        <f t="shared" si="37"/>
        <v>US$ miles</v>
      </c>
      <c r="G90" s="163">
        <f t="shared" ref="G90:O90" si="41">+G10*(1-G$45)-G55</f>
        <v>1894.939877371015</v>
      </c>
      <c r="H90" s="163">
        <f t="shared" si="41"/>
        <v>1338.6802864608701</v>
      </c>
      <c r="I90" s="163">
        <f t="shared" si="41"/>
        <v>1258.2837068694159</v>
      </c>
      <c r="J90" s="163">
        <f t="shared" si="41"/>
        <v>1703.6239065417051</v>
      </c>
      <c r="K90" s="163">
        <f t="shared" si="41"/>
        <v>2159.1268224188834</v>
      </c>
      <c r="L90" s="163">
        <f t="shared" si="41"/>
        <v>2860.4447348909171</v>
      </c>
      <c r="M90" s="163">
        <f t="shared" si="41"/>
        <v>2643.6481414052296</v>
      </c>
      <c r="N90" s="163">
        <f t="shared" si="41"/>
        <v>2960.0136085295676</v>
      </c>
      <c r="O90" s="163">
        <f t="shared" si="41"/>
        <v>2226.1337681182677</v>
      </c>
    </row>
    <row r="91" spans="2:15" x14ac:dyDescent="0.25">
      <c r="C91" s="5" t="s">
        <v>15</v>
      </c>
      <c r="D91" s="94" t="str">
        <f t="shared" si="37"/>
        <v>APMT</v>
      </c>
      <c r="E91" s="94" t="str">
        <f t="shared" si="37"/>
        <v>US$ miles</v>
      </c>
      <c r="G91" s="163">
        <f t="shared" ref="G91:O91" si="42">+G11*(1-G$45)-G56</f>
        <v>4483.6188997960235</v>
      </c>
      <c r="H91" s="163">
        <f t="shared" si="42"/>
        <v>2223.3630516813873</v>
      </c>
      <c r="I91" s="163">
        <f t="shared" si="42"/>
        <v>4204.9076790980025</v>
      </c>
      <c r="J91" s="163">
        <f t="shared" si="42"/>
        <v>3845.7645309767113</v>
      </c>
      <c r="K91" s="163">
        <f t="shared" si="42"/>
        <v>6184.6379726314617</v>
      </c>
      <c r="L91" s="163">
        <f t="shared" si="42"/>
        <v>10870.631543732525</v>
      </c>
      <c r="M91" s="163">
        <f t="shared" si="42"/>
        <v>13762.376023636845</v>
      </c>
      <c r="N91" s="163">
        <f t="shared" si="42"/>
        <v>15684.845258906127</v>
      </c>
      <c r="O91" s="163">
        <f t="shared" si="42"/>
        <v>14905.91044567678</v>
      </c>
    </row>
    <row r="92" spans="2:15" x14ac:dyDescent="0.25">
      <c r="C92" s="5" t="s">
        <v>297</v>
      </c>
      <c r="D92" s="94" t="str">
        <f t="shared" si="37"/>
        <v>APMT</v>
      </c>
      <c r="E92" s="94" t="str">
        <f t="shared" si="37"/>
        <v>US$ miles</v>
      </c>
      <c r="G92" s="163">
        <f t="shared" ref="G92:O92" si="43">+G12*(1-G$45)-G57</f>
        <v>356.55108470219005</v>
      </c>
      <c r="H92" s="163">
        <f t="shared" si="43"/>
        <v>809.25646403892983</v>
      </c>
      <c r="I92" s="163">
        <f t="shared" si="43"/>
        <v>431.02669470335479</v>
      </c>
      <c r="J92" s="163">
        <f t="shared" si="43"/>
        <v>924.90825473694122</v>
      </c>
      <c r="K92" s="163">
        <f t="shared" si="43"/>
        <v>684.17485726200232</v>
      </c>
      <c r="L92" s="163">
        <f t="shared" si="43"/>
        <v>1870.9736326945979</v>
      </c>
      <c r="M92" s="163">
        <f t="shared" si="43"/>
        <v>2095.470985824018</v>
      </c>
      <c r="N92" s="163">
        <f t="shared" si="43"/>
        <v>2507.6669598596859</v>
      </c>
      <c r="O92" s="163">
        <f t="shared" si="43"/>
        <v>2263.2555966841492</v>
      </c>
    </row>
    <row r="93" spans="2:15" x14ac:dyDescent="0.25">
      <c r="C93" s="5" t="s">
        <v>298</v>
      </c>
      <c r="D93" s="94" t="str">
        <f t="shared" si="37"/>
        <v>APMT</v>
      </c>
      <c r="E93" s="94" t="str">
        <f t="shared" si="37"/>
        <v>US$ miles</v>
      </c>
      <c r="G93" s="163">
        <f t="shared" ref="G93:O93" si="44">+G13*(1-G$45)-G58</f>
        <v>374.21147666863084</v>
      </c>
      <c r="H93" s="163">
        <f t="shared" si="44"/>
        <v>737.85592455062329</v>
      </c>
      <c r="I93" s="163">
        <f t="shared" si="44"/>
        <v>779.58152054430673</v>
      </c>
      <c r="J93" s="163">
        <f t="shared" si="44"/>
        <v>1344.2860863257342</v>
      </c>
      <c r="K93" s="163">
        <f t="shared" si="44"/>
        <v>631.97828165822318</v>
      </c>
      <c r="L93" s="163">
        <f t="shared" si="44"/>
        <v>2168.2435412462969</v>
      </c>
      <c r="M93" s="163">
        <f t="shared" si="44"/>
        <v>3894.1164716219801</v>
      </c>
      <c r="N93" s="163">
        <f t="shared" si="44"/>
        <v>3872.0146155176744</v>
      </c>
      <c r="O93" s="163">
        <f t="shared" si="44"/>
        <v>3671.3386910131658</v>
      </c>
    </row>
    <row r="94" spans="2:15" x14ac:dyDescent="0.25">
      <c r="C94" s="5" t="s">
        <v>299</v>
      </c>
      <c r="D94" s="94" t="str">
        <f t="shared" si="37"/>
        <v>APMT</v>
      </c>
      <c r="E94" s="94" t="str">
        <f t="shared" si="37"/>
        <v>US$ miles</v>
      </c>
      <c r="G94" s="163">
        <f t="shared" ref="G94:O94" si="45">+G14*(1-G$45)-G59</f>
        <v>203.78327965788898</v>
      </c>
      <c r="H94" s="163">
        <f t="shared" si="45"/>
        <v>153.72971372975863</v>
      </c>
      <c r="I94" s="163">
        <f t="shared" si="45"/>
        <v>37.137504002384254</v>
      </c>
      <c r="J94" s="163">
        <f t="shared" si="45"/>
        <v>5.8622152462233181</v>
      </c>
      <c r="K94" s="163">
        <f t="shared" si="45"/>
        <v>38.421983156590116</v>
      </c>
      <c r="L94" s="163">
        <f t="shared" si="45"/>
        <v>183.08162875385406</v>
      </c>
      <c r="M94" s="163">
        <f t="shared" si="45"/>
        <v>193.61467907248405</v>
      </c>
      <c r="N94" s="163">
        <f t="shared" si="45"/>
        <v>98.177923157260523</v>
      </c>
      <c r="O94" s="163">
        <f t="shared" si="45"/>
        <v>104.25356106754654</v>
      </c>
    </row>
    <row r="95" spans="2:15" x14ac:dyDescent="0.25">
      <c r="C95" s="5" t="s">
        <v>300</v>
      </c>
      <c r="D95" s="94" t="str">
        <f t="shared" si="37"/>
        <v>APMT</v>
      </c>
      <c r="E95" s="94" t="str">
        <f t="shared" si="37"/>
        <v>US$ miles</v>
      </c>
      <c r="G95" s="163">
        <f t="shared" ref="G95:O95" si="46">+G15*(1-G$45)-G60</f>
        <v>1175.6619853129687</v>
      </c>
      <c r="H95" s="163">
        <f t="shared" si="46"/>
        <v>603.86024285550502</v>
      </c>
      <c r="I95" s="163">
        <f t="shared" si="46"/>
        <v>228.04751277942006</v>
      </c>
      <c r="J95" s="163">
        <f t="shared" si="46"/>
        <v>109.49783173989636</v>
      </c>
      <c r="K95" s="163">
        <f t="shared" si="46"/>
        <v>273.87712098459605</v>
      </c>
      <c r="L95" s="163">
        <f t="shared" si="46"/>
        <v>1987.3935202510838</v>
      </c>
      <c r="M95" s="163">
        <f t="shared" si="46"/>
        <v>1564.122752651291</v>
      </c>
      <c r="N95" s="163">
        <f t="shared" si="46"/>
        <v>1346.2154083250653</v>
      </c>
      <c r="O95" s="163">
        <f t="shared" si="46"/>
        <v>541.14145430921462</v>
      </c>
    </row>
    <row r="96" spans="2:15" x14ac:dyDescent="0.25">
      <c r="C96" s="5" t="s">
        <v>263</v>
      </c>
      <c r="D96" s="94" t="str">
        <f t="shared" si="37"/>
        <v>APMT</v>
      </c>
      <c r="E96" s="94" t="str">
        <f t="shared" si="37"/>
        <v>US$ miles</v>
      </c>
      <c r="G96" s="163">
        <f t="shared" ref="G96:O96" si="47">+G16*(1-G$45)-G61</f>
        <v>10938.186102683161</v>
      </c>
      <c r="H96" s="163">
        <f t="shared" si="47"/>
        <v>12116.43802242576</v>
      </c>
      <c r="I96" s="163">
        <f t="shared" si="47"/>
        <v>12398.643589233818</v>
      </c>
      <c r="J96" s="163">
        <f t="shared" si="47"/>
        <v>13172.375999178374</v>
      </c>
      <c r="K96" s="163">
        <f t="shared" si="47"/>
        <v>13435.664160101353</v>
      </c>
      <c r="L96" s="163">
        <f t="shared" si="47"/>
        <v>13942.831549069111</v>
      </c>
      <c r="M96" s="163">
        <f t="shared" si="47"/>
        <v>15012.601935395716</v>
      </c>
      <c r="N96" s="163">
        <f t="shared" si="47"/>
        <v>22042.427037083591</v>
      </c>
      <c r="O96" s="163">
        <f t="shared" si="47"/>
        <v>23029.453143469775</v>
      </c>
    </row>
    <row r="97" spans="3:15" x14ac:dyDescent="0.25">
      <c r="C97" s="5" t="s">
        <v>264</v>
      </c>
      <c r="D97" s="94" t="str">
        <f t="shared" si="37"/>
        <v>APMT</v>
      </c>
      <c r="E97" s="94" t="str">
        <f t="shared" si="37"/>
        <v>US$ miles</v>
      </c>
      <c r="G97" s="163">
        <f t="shared" ref="G97:O97" si="48">+G17*(1-G$45)-G62</f>
        <v>8566.6793597830801</v>
      </c>
      <c r="H97" s="163">
        <f t="shared" si="48"/>
        <v>11939.090287584251</v>
      </c>
      <c r="I97" s="163">
        <f t="shared" si="48"/>
        <v>11072.678980063729</v>
      </c>
      <c r="J97" s="163">
        <f t="shared" si="48"/>
        <v>9216.6810230407973</v>
      </c>
      <c r="K97" s="163">
        <f t="shared" si="48"/>
        <v>9432.3139475638909</v>
      </c>
      <c r="L97" s="163">
        <f t="shared" si="48"/>
        <v>8016.2385541324857</v>
      </c>
      <c r="M97" s="163">
        <f t="shared" si="48"/>
        <v>10369.966960441936</v>
      </c>
      <c r="N97" s="163">
        <f t="shared" si="48"/>
        <v>9996.3837146016049</v>
      </c>
      <c r="O97" s="163">
        <f t="shared" si="48"/>
        <v>9997.2315173381685</v>
      </c>
    </row>
    <row r="98" spans="3:15" x14ac:dyDescent="0.25">
      <c r="C98" s="5" t="s">
        <v>265</v>
      </c>
      <c r="D98" s="94" t="str">
        <f t="shared" si="37"/>
        <v>APMT</v>
      </c>
      <c r="E98" s="94" t="str">
        <f t="shared" si="37"/>
        <v>US$ miles</v>
      </c>
      <c r="G98" s="163">
        <f t="shared" ref="G98:O98" si="49">+G18*(1-G$45)-G63</f>
        <v>21922.75584744825</v>
      </c>
      <c r="H98" s="163">
        <f t="shared" si="49"/>
        <v>20467.266781814742</v>
      </c>
      <c r="I98" s="163">
        <f t="shared" si="49"/>
        <v>21913.121852434069</v>
      </c>
      <c r="J98" s="163">
        <f t="shared" si="49"/>
        <v>19519.228680469918</v>
      </c>
      <c r="K98" s="163">
        <f t="shared" si="49"/>
        <v>15685.703808151651</v>
      </c>
      <c r="L98" s="163">
        <f t="shared" si="49"/>
        <v>18916.084772981492</v>
      </c>
      <c r="M98" s="163">
        <f t="shared" si="49"/>
        <v>24449.472351199311</v>
      </c>
      <c r="N98" s="163">
        <f t="shared" si="49"/>
        <v>26064.354612987885</v>
      </c>
      <c r="O98" s="163">
        <f t="shared" si="49"/>
        <v>29702.034458563649</v>
      </c>
    </row>
    <row r="99" spans="3:15" x14ac:dyDescent="0.25">
      <c r="C99" s="5" t="s">
        <v>266</v>
      </c>
      <c r="D99" s="94" t="str">
        <f t="shared" si="37"/>
        <v>APMT</v>
      </c>
      <c r="E99" s="94" t="str">
        <f t="shared" si="37"/>
        <v>US$ miles</v>
      </c>
      <c r="G99" s="163">
        <f t="shared" ref="G99:O99" si="50">+G19*(1-G$45)-G64</f>
        <v>2752.8208636959916</v>
      </c>
      <c r="H99" s="163">
        <f t="shared" si="50"/>
        <v>2927.0125984565038</v>
      </c>
      <c r="I99" s="163">
        <f t="shared" si="50"/>
        <v>3301.6716163771375</v>
      </c>
      <c r="J99" s="163">
        <f t="shared" si="50"/>
        <v>2837.3874497643365</v>
      </c>
      <c r="K99" s="163">
        <f t="shared" si="50"/>
        <v>2921.9922356205952</v>
      </c>
      <c r="L99" s="163">
        <f t="shared" si="50"/>
        <v>3358.4051589553865</v>
      </c>
      <c r="M99" s="163">
        <f t="shared" si="50"/>
        <v>3781.9571396032411</v>
      </c>
      <c r="N99" s="163">
        <f t="shared" si="50"/>
        <v>4159.6819937054543</v>
      </c>
      <c r="O99" s="163">
        <f t="shared" si="50"/>
        <v>5581.1411120079511</v>
      </c>
    </row>
    <row r="100" spans="3:15" x14ac:dyDescent="0.25">
      <c r="C100" s="5" t="s">
        <v>267</v>
      </c>
      <c r="D100" s="94" t="str">
        <f t="shared" si="37"/>
        <v>APMT</v>
      </c>
      <c r="E100" s="94" t="str">
        <f t="shared" si="37"/>
        <v>US$ miles</v>
      </c>
      <c r="G100" s="163">
        <f t="shared" ref="G100:O100" si="51">+G20*(1-G$45)-G65</f>
        <v>61.55091565135416</v>
      </c>
      <c r="H100" s="163">
        <f t="shared" si="51"/>
        <v>136.12597986614983</v>
      </c>
      <c r="I100" s="163">
        <f t="shared" si="51"/>
        <v>200.41250972282953</v>
      </c>
      <c r="J100" s="163">
        <f t="shared" si="51"/>
        <v>146.46178787532853</v>
      </c>
      <c r="K100" s="163">
        <f t="shared" si="51"/>
        <v>250.06736839690814</v>
      </c>
      <c r="L100" s="163">
        <f t="shared" si="51"/>
        <v>214.11634394113173</v>
      </c>
      <c r="M100" s="163">
        <f t="shared" si="51"/>
        <v>286.45313300896498</v>
      </c>
      <c r="N100" s="163">
        <f t="shared" si="51"/>
        <v>256.64174555422153</v>
      </c>
      <c r="O100" s="163">
        <f t="shared" si="51"/>
        <v>412.57222256609998</v>
      </c>
    </row>
    <row r="101" spans="3:15" x14ac:dyDescent="0.25">
      <c r="C101" s="5"/>
      <c r="D101" s="94"/>
      <c r="E101" s="94"/>
      <c r="G101" s="163"/>
      <c r="H101" s="163"/>
      <c r="I101" s="163"/>
      <c r="J101" s="163"/>
      <c r="K101" s="163"/>
      <c r="L101" s="163"/>
      <c r="M101" s="163"/>
      <c r="N101" s="163"/>
      <c r="O101" s="163"/>
    </row>
    <row r="102" spans="3:15" x14ac:dyDescent="0.25">
      <c r="C102" s="5" t="s">
        <v>18</v>
      </c>
      <c r="D102" s="94" t="str">
        <f t="shared" ref="D102:E116" si="52">+D67</f>
        <v>APMT</v>
      </c>
      <c r="E102" s="94" t="str">
        <f t="shared" si="52"/>
        <v>US$ miles</v>
      </c>
      <c r="G102" s="163">
        <f t="shared" ref="G102:O102" si="53">+G22*(1-G$45)-G67</f>
        <v>1556.77840802734</v>
      </c>
      <c r="H102" s="163">
        <f t="shared" si="53"/>
        <v>2557.5707161710279</v>
      </c>
      <c r="I102" s="163">
        <f t="shared" si="53"/>
        <v>1875.3663378228864</v>
      </c>
      <c r="J102" s="163">
        <f t="shared" si="53"/>
        <v>3339.2662317705522</v>
      </c>
      <c r="K102" s="163">
        <f t="shared" si="53"/>
        <v>5660.3701981693566</v>
      </c>
      <c r="L102" s="163">
        <f t="shared" si="53"/>
        <v>9280.1572836717423</v>
      </c>
      <c r="M102" s="163">
        <f t="shared" si="53"/>
        <v>12665.950710627347</v>
      </c>
      <c r="N102" s="163">
        <f t="shared" si="53"/>
        <v>17650.729294133536</v>
      </c>
      <c r="O102" s="163">
        <f t="shared" si="53"/>
        <v>13172.486029234957</v>
      </c>
    </row>
    <row r="103" spans="3:15" x14ac:dyDescent="0.25">
      <c r="C103" s="5" t="s">
        <v>19</v>
      </c>
      <c r="D103" s="94" t="str">
        <f t="shared" si="52"/>
        <v>APMT</v>
      </c>
      <c r="E103" s="94" t="str">
        <f t="shared" si="52"/>
        <v>US$ miles</v>
      </c>
      <c r="G103" s="163">
        <f t="shared" ref="G103:O103" si="54">+G23*(1-G$45)-G68</f>
        <v>766.8135056535092</v>
      </c>
      <c r="H103" s="163">
        <f t="shared" si="54"/>
        <v>641.12053337533939</v>
      </c>
      <c r="I103" s="163">
        <f t="shared" si="54"/>
        <v>161.49848975190295</v>
      </c>
      <c r="J103" s="163">
        <f t="shared" si="54"/>
        <v>439.45138579792496</v>
      </c>
      <c r="K103" s="163">
        <f t="shared" si="54"/>
        <v>1542.8395298535122</v>
      </c>
      <c r="L103" s="163">
        <f t="shared" si="54"/>
        <v>737.9499213416733</v>
      </c>
      <c r="M103" s="163">
        <f t="shared" si="54"/>
        <v>1431.1023608473376</v>
      </c>
      <c r="N103" s="163">
        <f t="shared" si="54"/>
        <v>870.57602822412787</v>
      </c>
      <c r="O103" s="163">
        <f t="shared" si="54"/>
        <v>862.30389728172406</v>
      </c>
    </row>
    <row r="104" spans="3:15" x14ac:dyDescent="0.25">
      <c r="C104" s="5" t="s">
        <v>20</v>
      </c>
      <c r="D104" s="94" t="str">
        <f t="shared" si="52"/>
        <v>APMT</v>
      </c>
      <c r="E104" s="94" t="str">
        <f t="shared" si="52"/>
        <v>US$ miles</v>
      </c>
      <c r="G104" s="163">
        <f t="shared" ref="G104:O104" si="55">+G24*(1-G$45)-G69</f>
        <v>313.84983065595827</v>
      </c>
      <c r="H104" s="163">
        <f t="shared" si="55"/>
        <v>1177.0052712020247</v>
      </c>
      <c r="I104" s="163">
        <f t="shared" si="55"/>
        <v>1081.5380232722955</v>
      </c>
      <c r="J104" s="163">
        <f t="shared" si="55"/>
        <v>850.11714129401184</v>
      </c>
      <c r="K104" s="163">
        <f t="shared" si="55"/>
        <v>1928.807273067102</v>
      </c>
      <c r="L104" s="163">
        <f t="shared" si="55"/>
        <v>710.89379567211813</v>
      </c>
      <c r="M104" s="163">
        <f t="shared" si="55"/>
        <v>873.53223234920904</v>
      </c>
      <c r="N104" s="163">
        <f t="shared" si="55"/>
        <v>940.53819917947487</v>
      </c>
      <c r="O104" s="163">
        <f t="shared" si="55"/>
        <v>832.16200019769713</v>
      </c>
    </row>
    <row r="105" spans="3:15" x14ac:dyDescent="0.25">
      <c r="C105" s="5" t="s">
        <v>21</v>
      </c>
      <c r="D105" s="94" t="str">
        <f t="shared" si="52"/>
        <v>APMT</v>
      </c>
      <c r="E105" s="94" t="str">
        <f t="shared" si="52"/>
        <v>US$ miles</v>
      </c>
      <c r="G105" s="163">
        <f t="shared" ref="G105:O105" si="56">+G25*(1-G$45)-G70</f>
        <v>519.38174371877028</v>
      </c>
      <c r="H105" s="163">
        <f t="shared" si="56"/>
        <v>810.03900199230679</v>
      </c>
      <c r="I105" s="163">
        <f t="shared" si="56"/>
        <v>367.96058363423163</v>
      </c>
      <c r="J105" s="163">
        <f t="shared" si="56"/>
        <v>145.07073013519252</v>
      </c>
      <c r="K105" s="163">
        <f t="shared" si="56"/>
        <v>29.971409876055422</v>
      </c>
      <c r="L105" s="163">
        <f t="shared" si="56"/>
        <v>0</v>
      </c>
      <c r="M105" s="163">
        <f t="shared" si="56"/>
        <v>0</v>
      </c>
      <c r="N105" s="163">
        <f t="shared" si="56"/>
        <v>8.9580018706067424E-2</v>
      </c>
      <c r="O105" s="163">
        <f t="shared" si="56"/>
        <v>54.456811554475877</v>
      </c>
    </row>
    <row r="106" spans="3:15" x14ac:dyDescent="0.25">
      <c r="C106" s="5" t="s">
        <v>22</v>
      </c>
      <c r="D106" s="94" t="str">
        <f t="shared" si="52"/>
        <v>APMT</v>
      </c>
      <c r="E106" s="94" t="str">
        <f t="shared" si="52"/>
        <v>US$ miles</v>
      </c>
      <c r="G106" s="163">
        <f t="shared" ref="G106:O106" si="57">+G26*(1-G$45)-G71</f>
        <v>0</v>
      </c>
      <c r="H106" s="163">
        <f t="shared" si="57"/>
        <v>0</v>
      </c>
      <c r="I106" s="163">
        <f t="shared" si="57"/>
        <v>1385.9510965911531</v>
      </c>
      <c r="J106" s="163">
        <f t="shared" si="57"/>
        <v>986.34303605031687</v>
      </c>
      <c r="K106" s="163">
        <f t="shared" si="57"/>
        <v>1075.0932430480066</v>
      </c>
      <c r="L106" s="163">
        <f t="shared" si="57"/>
        <v>368.17785735425718</v>
      </c>
      <c r="M106" s="163">
        <f t="shared" si="57"/>
        <v>59.974337684808589</v>
      </c>
      <c r="N106" s="163">
        <f t="shared" si="57"/>
        <v>-18.514006139519982</v>
      </c>
      <c r="O106" s="163">
        <f t="shared" si="57"/>
        <v>22.828580421202275</v>
      </c>
    </row>
    <row r="107" spans="3:15" x14ac:dyDescent="0.25">
      <c r="C107" s="5" t="s">
        <v>23</v>
      </c>
      <c r="D107" s="94" t="str">
        <f t="shared" si="52"/>
        <v>APMT</v>
      </c>
      <c r="E107" s="94" t="str">
        <f t="shared" si="52"/>
        <v>US$ miles</v>
      </c>
      <c r="G107" s="163">
        <f t="shared" ref="G107:O107" si="58">+G27*(1-G$45)-G72</f>
        <v>0</v>
      </c>
      <c r="H107" s="163">
        <f t="shared" si="58"/>
        <v>0</v>
      </c>
      <c r="I107" s="163">
        <f t="shared" si="58"/>
        <v>466.88950754828301</v>
      </c>
      <c r="J107" s="163">
        <f t="shared" si="58"/>
        <v>297.75909819315723</v>
      </c>
      <c r="K107" s="163">
        <f t="shared" si="58"/>
        <v>299.30252177907374</v>
      </c>
      <c r="L107" s="163">
        <f t="shared" si="58"/>
        <v>21.990857432907184</v>
      </c>
      <c r="M107" s="163">
        <f t="shared" si="58"/>
        <v>96.282753164535677</v>
      </c>
      <c r="N107" s="163">
        <f t="shared" si="58"/>
        <v>-7.9727055157363091</v>
      </c>
      <c r="O107" s="163">
        <f t="shared" si="58"/>
        <v>0</v>
      </c>
    </row>
    <row r="108" spans="3:15" x14ac:dyDescent="0.25">
      <c r="C108" s="5" t="s">
        <v>24</v>
      </c>
      <c r="D108" s="94" t="str">
        <f t="shared" si="52"/>
        <v>APMT</v>
      </c>
      <c r="E108" s="94" t="str">
        <f t="shared" si="52"/>
        <v>US$ miles</v>
      </c>
      <c r="G108" s="163">
        <f t="shared" ref="G108:O108" si="59">+G28*(1-G$45)-G73</f>
        <v>0</v>
      </c>
      <c r="H108" s="163">
        <f t="shared" si="59"/>
        <v>0</v>
      </c>
      <c r="I108" s="163">
        <f t="shared" si="59"/>
        <v>439.07346030575025</v>
      </c>
      <c r="J108" s="163">
        <f t="shared" si="59"/>
        <v>548.69236076644074</v>
      </c>
      <c r="K108" s="163">
        <f t="shared" si="59"/>
        <v>664.19774959195058</v>
      </c>
      <c r="L108" s="163">
        <f t="shared" si="59"/>
        <v>725.32860485574622</v>
      </c>
      <c r="M108" s="163">
        <f t="shared" si="59"/>
        <v>461.48073491397201</v>
      </c>
      <c r="N108" s="163">
        <f t="shared" si="59"/>
        <v>435.27402270734422</v>
      </c>
      <c r="O108" s="163">
        <f t="shared" si="59"/>
        <v>390.39178206878438</v>
      </c>
    </row>
    <row r="109" spans="3:15" x14ac:dyDescent="0.25">
      <c r="C109" s="5" t="s">
        <v>268</v>
      </c>
      <c r="D109" s="94" t="str">
        <f t="shared" si="52"/>
        <v>APMT</v>
      </c>
      <c r="E109" s="94" t="str">
        <f t="shared" si="52"/>
        <v>US$ miles</v>
      </c>
      <c r="G109" s="163">
        <f t="shared" ref="G109:O109" si="60">+G29*(1-G$45)-G74</f>
        <v>90.868683466435641</v>
      </c>
      <c r="H109" s="163">
        <f t="shared" si="60"/>
        <v>164.65807374752001</v>
      </c>
      <c r="I109" s="163">
        <f t="shared" si="60"/>
        <v>369.39161821720876</v>
      </c>
      <c r="J109" s="163">
        <f t="shared" si="60"/>
        <v>293.67170787558553</v>
      </c>
      <c r="K109" s="163">
        <f t="shared" si="60"/>
        <v>351.0038814588126</v>
      </c>
      <c r="L109" s="163">
        <f t="shared" si="60"/>
        <v>351.98381439653826</v>
      </c>
      <c r="M109" s="163">
        <f t="shared" si="60"/>
        <v>172.32871002202143</v>
      </c>
      <c r="N109" s="163">
        <f t="shared" si="60"/>
        <v>381.16867265120482</v>
      </c>
      <c r="O109" s="163">
        <f t="shared" si="60"/>
        <v>525.96775347484981</v>
      </c>
    </row>
    <row r="110" spans="3:15" x14ac:dyDescent="0.25">
      <c r="C110" s="5" t="s">
        <v>269</v>
      </c>
      <c r="D110" s="94" t="str">
        <f t="shared" si="52"/>
        <v>APMT</v>
      </c>
      <c r="E110" s="94" t="str">
        <f t="shared" si="52"/>
        <v>US$ miles</v>
      </c>
      <c r="G110" s="163">
        <f t="shared" ref="G110:O110" si="61">+G30*(1-G$45)-G75</f>
        <v>0</v>
      </c>
      <c r="H110" s="163">
        <f t="shared" si="61"/>
        <v>0</v>
      </c>
      <c r="I110" s="163">
        <f t="shared" si="61"/>
        <v>356.91138951375882</v>
      </c>
      <c r="J110" s="163">
        <f t="shared" si="61"/>
        <v>385.14307603725388</v>
      </c>
      <c r="K110" s="163">
        <f t="shared" si="61"/>
        <v>1329.7783654757334</v>
      </c>
      <c r="L110" s="163">
        <f t="shared" si="61"/>
        <v>1913.9360688152071</v>
      </c>
      <c r="M110" s="163">
        <f t="shared" si="61"/>
        <v>2061.7631483861614</v>
      </c>
      <c r="N110" s="163">
        <f t="shared" si="61"/>
        <v>2505.1759929036443</v>
      </c>
      <c r="O110" s="163">
        <f t="shared" si="61"/>
        <v>2372.1456424352418</v>
      </c>
    </row>
    <row r="111" spans="3:15" x14ac:dyDescent="0.25">
      <c r="C111" s="5" t="s">
        <v>25</v>
      </c>
      <c r="D111" s="94" t="str">
        <f t="shared" si="52"/>
        <v>APMT</v>
      </c>
      <c r="E111" s="94" t="str">
        <f t="shared" si="52"/>
        <v>US$ miles</v>
      </c>
      <c r="G111" s="163">
        <f t="shared" ref="G111:O111" si="62">+G31*(1-G$45)-G76</f>
        <v>153.33918709530224</v>
      </c>
      <c r="H111" s="163">
        <f t="shared" si="62"/>
        <v>616.13988886168772</v>
      </c>
      <c r="I111" s="163">
        <f t="shared" si="62"/>
        <v>707.5309695358111</v>
      </c>
      <c r="J111" s="163">
        <f t="shared" si="62"/>
        <v>519.81179895901209</v>
      </c>
      <c r="K111" s="163">
        <f t="shared" si="62"/>
        <v>475.82962418646582</v>
      </c>
      <c r="L111" s="163">
        <f t="shared" si="62"/>
        <v>442.94597805101864</v>
      </c>
      <c r="M111" s="163">
        <f t="shared" si="62"/>
        <v>527.15857328677259</v>
      </c>
      <c r="N111" s="163">
        <f t="shared" si="62"/>
        <v>714.50918754188069</v>
      </c>
      <c r="O111" s="163">
        <f t="shared" si="62"/>
        <v>625.55806563116437</v>
      </c>
    </row>
    <row r="112" spans="3:15" x14ac:dyDescent="0.25">
      <c r="C112" s="5" t="s">
        <v>26</v>
      </c>
      <c r="D112" s="94" t="str">
        <f t="shared" si="52"/>
        <v>APMT</v>
      </c>
      <c r="E112" s="94" t="str">
        <f t="shared" si="52"/>
        <v>US$ miles</v>
      </c>
      <c r="G112" s="163">
        <f t="shared" ref="G112:O112" si="63">+G32*(1-G$45)-G77</f>
        <v>0</v>
      </c>
      <c r="H112" s="163">
        <f t="shared" si="63"/>
        <v>0</v>
      </c>
      <c r="I112" s="163">
        <f t="shared" si="63"/>
        <v>227.74228147861123</v>
      </c>
      <c r="J112" s="163">
        <f t="shared" si="63"/>
        <v>394.80140576626621</v>
      </c>
      <c r="K112" s="163">
        <f t="shared" si="63"/>
        <v>327.62263712551976</v>
      </c>
      <c r="L112" s="163">
        <f t="shared" si="63"/>
        <v>348.69798696100241</v>
      </c>
      <c r="M112" s="163">
        <f t="shared" si="63"/>
        <v>265.58250235404302</v>
      </c>
      <c r="N112" s="163">
        <f t="shared" si="63"/>
        <v>677.76073675554744</v>
      </c>
      <c r="O112" s="163">
        <f t="shared" si="63"/>
        <v>309.24325553134082</v>
      </c>
    </row>
    <row r="113" spans="2:37" x14ac:dyDescent="0.25">
      <c r="C113" s="5" t="s">
        <v>27</v>
      </c>
      <c r="D113" s="94" t="str">
        <f t="shared" si="52"/>
        <v>APMT</v>
      </c>
      <c r="E113" s="94" t="str">
        <f t="shared" si="52"/>
        <v>US$ miles</v>
      </c>
      <c r="G113" s="163">
        <f t="shared" ref="G113:O113" si="64">+G33*(1-G$45)-G78</f>
        <v>218.61396918039918</v>
      </c>
      <c r="H113" s="163">
        <f t="shared" si="64"/>
        <v>209.10236488828139</v>
      </c>
      <c r="I113" s="163">
        <f t="shared" si="64"/>
        <v>117.46130870389993</v>
      </c>
      <c r="J113" s="163">
        <f t="shared" si="64"/>
        <v>284.63781608708911</v>
      </c>
      <c r="K113" s="163">
        <f t="shared" si="64"/>
        <v>204.09203495161</v>
      </c>
      <c r="L113" s="163">
        <f t="shared" si="64"/>
        <v>173.66282044493488</v>
      </c>
      <c r="M113" s="163">
        <f t="shared" si="64"/>
        <v>107.21334932753241</v>
      </c>
      <c r="N113" s="163">
        <f t="shared" si="64"/>
        <v>129.56527318577295</v>
      </c>
      <c r="O113" s="163">
        <f t="shared" si="64"/>
        <v>148.27071669249193</v>
      </c>
    </row>
    <row r="114" spans="2:37" x14ac:dyDescent="0.25">
      <c r="C114" s="5" t="s">
        <v>28</v>
      </c>
      <c r="D114" s="94" t="str">
        <f t="shared" si="52"/>
        <v>APMT</v>
      </c>
      <c r="E114" s="94" t="str">
        <f t="shared" si="52"/>
        <v>US$ miles</v>
      </c>
      <c r="G114" s="163">
        <f t="shared" ref="G114:O114" si="65">+G34*(1-G$45)-G79</f>
        <v>0</v>
      </c>
      <c r="H114" s="163">
        <f t="shared" si="65"/>
        <v>0</v>
      </c>
      <c r="I114" s="163">
        <f t="shared" si="65"/>
        <v>0</v>
      </c>
      <c r="J114" s="163">
        <f t="shared" si="65"/>
        <v>439.2492645014608</v>
      </c>
      <c r="K114" s="163">
        <f t="shared" si="65"/>
        <v>421.59336323833327</v>
      </c>
      <c r="L114" s="163">
        <f t="shared" si="65"/>
        <v>473.47502674130902</v>
      </c>
      <c r="M114" s="163">
        <f t="shared" si="65"/>
        <v>557.08403102879413</v>
      </c>
      <c r="N114" s="163">
        <f t="shared" si="65"/>
        <v>560.75682794131001</v>
      </c>
      <c r="O114" s="163">
        <f t="shared" si="65"/>
        <v>610.94760066438369</v>
      </c>
    </row>
    <row r="115" spans="2:37" x14ac:dyDescent="0.25">
      <c r="C115" s="5" t="s">
        <v>270</v>
      </c>
      <c r="D115" s="94" t="str">
        <f t="shared" si="52"/>
        <v>APMT</v>
      </c>
      <c r="E115" s="94" t="str">
        <f t="shared" si="52"/>
        <v>US$ miles</v>
      </c>
      <c r="G115" s="163">
        <f t="shared" ref="G115:O115" si="66">+G35*(1-G$45)-G80</f>
        <v>0</v>
      </c>
      <c r="H115" s="163">
        <f t="shared" si="66"/>
        <v>0</v>
      </c>
      <c r="I115" s="163">
        <f t="shared" si="66"/>
        <v>0</v>
      </c>
      <c r="J115" s="163">
        <f t="shared" si="66"/>
        <v>590.63738927177189</v>
      </c>
      <c r="K115" s="163">
        <f t="shared" si="66"/>
        <v>950.79799284196724</v>
      </c>
      <c r="L115" s="163">
        <f t="shared" si="66"/>
        <v>1316.7647078079212</v>
      </c>
      <c r="M115" s="163">
        <f t="shared" si="66"/>
        <v>2239.5349567406784</v>
      </c>
      <c r="N115" s="163">
        <f t="shared" si="66"/>
        <v>4097.3857048240807</v>
      </c>
      <c r="O115" s="163">
        <f t="shared" si="66"/>
        <v>4224.0790730914287</v>
      </c>
    </row>
    <row r="116" spans="2:37" x14ac:dyDescent="0.25">
      <c r="C116" s="5" t="s">
        <v>29</v>
      </c>
      <c r="D116" s="94" t="str">
        <f t="shared" si="52"/>
        <v>APMT</v>
      </c>
      <c r="E116" s="94" t="str">
        <f t="shared" si="52"/>
        <v>US$ miles</v>
      </c>
      <c r="G116" s="163">
        <f t="shared" ref="G116:O116" si="67">+G36*(1-G$45)-G81</f>
        <v>253.33365869111185</v>
      </c>
      <c r="H116" s="163">
        <f t="shared" si="67"/>
        <v>291.08202077361256</v>
      </c>
      <c r="I116" s="163">
        <f t="shared" si="67"/>
        <v>246.36156979675667</v>
      </c>
      <c r="J116" s="163">
        <f t="shared" si="67"/>
        <v>285.25852349532994</v>
      </c>
      <c r="K116" s="163">
        <f t="shared" si="67"/>
        <v>225.61587189399359</v>
      </c>
      <c r="L116" s="163">
        <f t="shared" si="67"/>
        <v>495.83814910189221</v>
      </c>
      <c r="M116" s="163">
        <f t="shared" si="67"/>
        <v>706.63493952992405</v>
      </c>
      <c r="N116" s="163">
        <f t="shared" si="67"/>
        <v>1083.2728188323895</v>
      </c>
      <c r="O116" s="163">
        <f t="shared" si="67"/>
        <v>591.53447538516855</v>
      </c>
    </row>
    <row r="117" spans="2:37" ht="13.5" thickBot="1" x14ac:dyDescent="0.35">
      <c r="C117" s="72" t="s">
        <v>201</v>
      </c>
      <c r="D117" s="75" t="str">
        <f>+D82</f>
        <v>APMT</v>
      </c>
      <c r="E117" s="75" t="s">
        <v>56</v>
      </c>
      <c r="F117" s="7"/>
      <c r="G117" s="165">
        <f>+SUM(G87:G116)</f>
        <v>83186.001060000053</v>
      </c>
      <c r="H117" s="165">
        <f t="shared" ref="H117:O117" si="68">+SUM(H87:H116)</f>
        <v>84655.38203000011</v>
      </c>
      <c r="I117" s="165">
        <f t="shared" si="68"/>
        <v>93687.466902412591</v>
      </c>
      <c r="J117" s="165">
        <f t="shared" si="68"/>
        <v>92252.82921299724</v>
      </c>
      <c r="K117" s="165">
        <f t="shared" si="68"/>
        <v>103936.8698800001</v>
      </c>
      <c r="L117" s="165">
        <f t="shared" si="68"/>
        <v>124064.67653000001</v>
      </c>
      <c r="M117" s="165">
        <f t="shared" si="68"/>
        <v>150025.81965000002</v>
      </c>
      <c r="N117" s="165">
        <f t="shared" si="68"/>
        <v>175880.08854000008</v>
      </c>
      <c r="O117" s="165">
        <f t="shared" si="68"/>
        <v>174176.48750799982</v>
      </c>
    </row>
    <row r="118" spans="2:37" x14ac:dyDescent="0.25">
      <c r="G118" s="8"/>
      <c r="H118" s="8"/>
      <c r="I118" s="8"/>
      <c r="J118" s="8"/>
      <c r="K118" s="8"/>
      <c r="L118" s="8"/>
      <c r="M118" s="8"/>
      <c r="N118" s="8"/>
      <c r="O118" s="8"/>
    </row>
    <row r="119" spans="2:37" ht="13" x14ac:dyDescent="0.3">
      <c r="B119" s="3" t="s">
        <v>295</v>
      </c>
      <c r="C119" s="95"/>
      <c r="D119" s="2"/>
      <c r="E119" s="2"/>
      <c r="F119" s="1"/>
      <c r="G119" s="146"/>
      <c r="H119" s="146"/>
      <c r="I119" s="146"/>
      <c r="J119" s="146"/>
      <c r="K119" s="146"/>
      <c r="L119" s="146"/>
      <c r="M119" s="146"/>
      <c r="N119" s="146"/>
      <c r="O119" s="146"/>
    </row>
    <row r="120" spans="2:37" x14ac:dyDescent="0.25">
      <c r="G120" s="8"/>
      <c r="H120" s="8"/>
      <c r="I120" s="8"/>
      <c r="J120" s="8"/>
      <c r="K120" s="8"/>
      <c r="L120" s="8"/>
      <c r="M120" s="8"/>
      <c r="N120" s="8"/>
      <c r="O120" s="8"/>
    </row>
    <row r="121" spans="2:37" ht="13" x14ac:dyDescent="0.3">
      <c r="B121" s="7" t="s">
        <v>10</v>
      </c>
      <c r="G121" s="8"/>
      <c r="H121" s="8"/>
      <c r="I121" s="8"/>
      <c r="J121" s="8"/>
      <c r="K121" s="8"/>
      <c r="L121" s="8"/>
      <c r="M121" s="8"/>
      <c r="N121" s="8"/>
      <c r="O121" s="8"/>
    </row>
    <row r="122" spans="2:37" x14ac:dyDescent="0.25">
      <c r="C122" s="5" t="s">
        <v>11</v>
      </c>
      <c r="D122" s="94" t="str">
        <f t="shared" ref="D122:D135" si="69">+D87</f>
        <v>APMT</v>
      </c>
      <c r="E122" s="94" t="s">
        <v>279</v>
      </c>
      <c r="G122" s="163">
        <f>+Ingresos!G214</f>
        <v>13747.957463026929</v>
      </c>
      <c r="H122" s="163">
        <f>+Ingresos!H214</f>
        <v>13557.54686813441</v>
      </c>
      <c r="I122" s="163">
        <f>+Ingresos!I214</f>
        <v>15909.249198613321</v>
      </c>
      <c r="J122" s="163">
        <f>+Ingresos!J214</f>
        <v>14099.390272180986</v>
      </c>
      <c r="K122" s="163">
        <f>+Ingresos!K214</f>
        <v>14258.116917505524</v>
      </c>
      <c r="L122" s="163">
        <f>+Ingresos!L214</f>
        <v>11944.685863066312</v>
      </c>
      <c r="M122" s="163">
        <f>+Ingresos!M214</f>
        <v>12204.18828768395</v>
      </c>
      <c r="N122" s="163">
        <f>+Ingresos!N214</f>
        <v>12268.09846984744</v>
      </c>
      <c r="O122" s="163">
        <f>+Ingresos!O214</f>
        <v>11614.937609720708</v>
      </c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25">
      <c r="C123" s="5" t="s">
        <v>12</v>
      </c>
      <c r="D123" s="94" t="str">
        <f t="shared" si="69"/>
        <v>APMT</v>
      </c>
      <c r="E123" s="94" t="s">
        <v>53</v>
      </c>
      <c r="G123" s="163">
        <f>+Ingresos!G215</f>
        <v>99.644000000000005</v>
      </c>
      <c r="H123" s="163">
        <f>+Ingresos!H215</f>
        <v>86.692999999999998</v>
      </c>
      <c r="I123" s="163">
        <f>+Ingresos!I215</f>
        <v>96.186000000000007</v>
      </c>
      <c r="J123" s="163">
        <f>+Ingresos!J215</f>
        <v>94.790999999999997</v>
      </c>
      <c r="K123" s="163">
        <f>+Ingresos!K215</f>
        <v>121.56100000000001</v>
      </c>
      <c r="L123" s="163">
        <f>+Ingresos!L215</f>
        <v>142.37799999999999</v>
      </c>
      <c r="M123" s="163">
        <f>+Ingresos!M215</f>
        <v>148.54300000000001</v>
      </c>
      <c r="N123" s="163">
        <f>+Ingresos!N215</f>
        <v>135.29499999999999</v>
      </c>
      <c r="O123" s="163">
        <f>+Ingresos!O215</f>
        <v>112.881</v>
      </c>
      <c r="Q123" s="144"/>
      <c r="R123" s="144"/>
      <c r="S123" s="144"/>
      <c r="T123" s="144"/>
      <c r="U123" s="144"/>
      <c r="V123" s="144"/>
      <c r="W123" s="144"/>
      <c r="X123" s="144"/>
      <c r="Y123" s="144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25">
      <c r="C124" s="5" t="s">
        <v>13</v>
      </c>
      <c r="D124" s="94" t="str">
        <f t="shared" si="69"/>
        <v>APMT</v>
      </c>
      <c r="E124" s="94" t="s">
        <v>53</v>
      </c>
      <c r="G124" s="163">
        <f>+Ingresos!G216</f>
        <v>102.43600000000001</v>
      </c>
      <c r="H124" s="163">
        <f>+Ingresos!H216</f>
        <v>86.119</v>
      </c>
      <c r="I124" s="163">
        <f>+Ingresos!I216</f>
        <v>115.938</v>
      </c>
      <c r="J124" s="163">
        <f>+Ingresos!J216</f>
        <v>111.664</v>
      </c>
      <c r="K124" s="163">
        <f>+Ingresos!K216</f>
        <v>132.31800000000001</v>
      </c>
      <c r="L124" s="163">
        <f>+Ingresos!L216</f>
        <v>152.488</v>
      </c>
      <c r="M124" s="163">
        <f>+Ingresos!M216</f>
        <v>169.922</v>
      </c>
      <c r="N124" s="163">
        <f>+Ingresos!N216</f>
        <v>193.601</v>
      </c>
      <c r="O124" s="163">
        <f>+Ingresos!O216</f>
        <v>197.62200000000001</v>
      </c>
      <c r="Q124" s="144"/>
      <c r="R124" s="144"/>
      <c r="S124" s="144"/>
      <c r="T124" s="144"/>
      <c r="U124" s="144"/>
      <c r="V124" s="144"/>
      <c r="W124" s="144"/>
      <c r="X124" s="144"/>
      <c r="Y124" s="144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25">
      <c r="C125" s="5" t="s">
        <v>14</v>
      </c>
      <c r="D125" s="94" t="str">
        <f t="shared" si="69"/>
        <v>APMT</v>
      </c>
      <c r="E125" s="94" t="s">
        <v>53</v>
      </c>
      <c r="G125" s="163">
        <f>+Ingresos!G217</f>
        <v>34.116</v>
      </c>
      <c r="H125" s="163">
        <f>+Ingresos!H217</f>
        <v>23.148</v>
      </c>
      <c r="I125" s="163">
        <f>+Ingresos!I217</f>
        <v>21.757999999999999</v>
      </c>
      <c r="J125" s="163">
        <f>+Ingresos!J217</f>
        <v>26.488</v>
      </c>
      <c r="K125" s="163">
        <f>+Ingresos!K217</f>
        <v>33.914999999999999</v>
      </c>
      <c r="L125" s="163">
        <f>+Ingresos!L217</f>
        <v>40.088000000000001</v>
      </c>
      <c r="M125" s="163">
        <f>+Ingresos!M217</f>
        <v>33.795999999999999</v>
      </c>
      <c r="N125" s="163">
        <f>+Ingresos!N217</f>
        <v>32.948</v>
      </c>
      <c r="O125" s="163">
        <f>+Ingresos!O217</f>
        <v>23.094999999999999</v>
      </c>
      <c r="Q125" s="144"/>
      <c r="R125" s="144"/>
      <c r="S125" s="144"/>
      <c r="T125" s="144"/>
      <c r="U125" s="144"/>
      <c r="V125" s="144"/>
      <c r="W125" s="144"/>
      <c r="X125" s="144"/>
      <c r="Y125" s="144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25">
      <c r="C126" s="5" t="s">
        <v>15</v>
      </c>
      <c r="D126" s="94" t="str">
        <f t="shared" si="69"/>
        <v>APMT</v>
      </c>
      <c r="E126" s="94" t="s">
        <v>53</v>
      </c>
      <c r="G126" s="163">
        <f>+Ingresos!G218</f>
        <v>52.154000000000003</v>
      </c>
      <c r="H126" s="163">
        <f>+Ingresos!H218</f>
        <v>25.172000000000001</v>
      </c>
      <c r="I126" s="163">
        <f>+Ingresos!I218</f>
        <v>46.884</v>
      </c>
      <c r="J126" s="163">
        <f>+Ingresos!J218</f>
        <v>40.701000000000001</v>
      </c>
      <c r="K126" s="163">
        <f>+Ingresos!K218</f>
        <v>62.79</v>
      </c>
      <c r="L126" s="163">
        <f>+Ingresos!L218</f>
        <v>102.679</v>
      </c>
      <c r="M126" s="163">
        <f>+Ingresos!M218</f>
        <v>104.928</v>
      </c>
      <c r="N126" s="163">
        <f>+Ingresos!N218</f>
        <v>117.849</v>
      </c>
      <c r="O126" s="163">
        <f>+Ingresos!O218</f>
        <v>107.271</v>
      </c>
      <c r="Q126" s="144"/>
      <c r="R126" s="144"/>
      <c r="S126" s="144"/>
      <c r="T126" s="144"/>
      <c r="U126" s="144"/>
      <c r="V126" s="144"/>
      <c r="W126" s="144"/>
      <c r="X126" s="144"/>
      <c r="Y126" s="144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25">
      <c r="C127" s="5" t="s">
        <v>297</v>
      </c>
      <c r="D127" s="94" t="str">
        <f t="shared" si="69"/>
        <v>APMT</v>
      </c>
      <c r="E127" s="94" t="s">
        <v>53</v>
      </c>
      <c r="G127" s="163">
        <f>+Ingresos!G219</f>
        <v>4.7220000000000004</v>
      </c>
      <c r="H127" s="163">
        <f>+Ingresos!H219</f>
        <v>11.303000000000001</v>
      </c>
      <c r="I127" s="163">
        <f>+Ingresos!I219</f>
        <v>6.0170000000000003</v>
      </c>
      <c r="J127" s="163">
        <f>+Ingresos!J219</f>
        <v>15.031000000000001</v>
      </c>
      <c r="K127" s="163">
        <f>+Ingresos!K219</f>
        <v>10.666</v>
      </c>
      <c r="L127" s="163">
        <f>+Ingresos!L219</f>
        <v>24.172999999999998</v>
      </c>
      <c r="M127" s="163">
        <f>+Ingresos!M219</f>
        <v>28.579000000000001</v>
      </c>
      <c r="N127" s="163">
        <f>+Ingresos!N219</f>
        <v>29.026</v>
      </c>
      <c r="O127" s="163">
        <f>+Ingresos!O219</f>
        <v>24.402999999999999</v>
      </c>
      <c r="Q127" s="157"/>
      <c r="R127" s="157"/>
      <c r="S127" s="157"/>
      <c r="T127" s="157"/>
      <c r="U127" s="157"/>
      <c r="V127" s="157"/>
      <c r="W127" s="157"/>
      <c r="X127" s="157"/>
      <c r="Y127" s="15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25">
      <c r="C128" s="5" t="s">
        <v>298</v>
      </c>
      <c r="D128" s="94" t="str">
        <f t="shared" si="69"/>
        <v>APMT</v>
      </c>
      <c r="E128" s="94" t="s">
        <v>53</v>
      </c>
      <c r="G128" s="163">
        <f>+Ingresos!G220</f>
        <v>3.47</v>
      </c>
      <c r="H128" s="163">
        <f>+Ingresos!H220</f>
        <v>7.0540000000000003</v>
      </c>
      <c r="I128" s="163">
        <f>+Ingresos!I220</f>
        <v>7.4249999999999998</v>
      </c>
      <c r="J128" s="163">
        <f>+Ingresos!J220</f>
        <v>14.13</v>
      </c>
      <c r="K128" s="163">
        <f>+Ingresos!K220</f>
        <v>6.4249999999999998</v>
      </c>
      <c r="L128" s="163">
        <f>+Ingresos!L220</f>
        <v>19.463999999999999</v>
      </c>
      <c r="M128" s="163">
        <f>+Ingresos!M220</f>
        <v>31.484999999999999</v>
      </c>
      <c r="N128" s="163">
        <f>+Ingresos!N220</f>
        <v>30.050999999999998</v>
      </c>
      <c r="O128" s="163">
        <f>+Ingresos!O220</f>
        <v>26.678000000000001</v>
      </c>
      <c r="Q128" s="157"/>
      <c r="R128" s="157"/>
      <c r="S128" s="157"/>
      <c r="T128" s="157"/>
      <c r="U128" s="157"/>
      <c r="V128" s="157"/>
      <c r="W128" s="157"/>
      <c r="X128" s="157"/>
      <c r="Y128" s="15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3:37" x14ac:dyDescent="0.25">
      <c r="C129" s="5" t="s">
        <v>299</v>
      </c>
      <c r="D129" s="94" t="str">
        <f t="shared" si="69"/>
        <v>APMT</v>
      </c>
      <c r="E129" s="94" t="s">
        <v>53</v>
      </c>
      <c r="G129" s="163">
        <f>+Ingresos!G221</f>
        <v>2.3919999999999999</v>
      </c>
      <c r="H129" s="163">
        <f>+Ingresos!H221</f>
        <v>2.016</v>
      </c>
      <c r="I129" s="163">
        <f>+Ingresos!I221</f>
        <v>0.48699999999999999</v>
      </c>
      <c r="J129" s="163">
        <f>+Ingresos!J221</f>
        <v>0.09</v>
      </c>
      <c r="K129" s="163">
        <f>+Ingresos!K221</f>
        <v>0.53300000000000003</v>
      </c>
      <c r="L129" s="163">
        <f>+Ingresos!L221</f>
        <v>2.3279999999999998</v>
      </c>
      <c r="M129" s="163">
        <f>+Ingresos!M221</f>
        <v>2.4540000000000002</v>
      </c>
      <c r="N129" s="163">
        <f>+Ingresos!N221</f>
        <v>1.208</v>
      </c>
      <c r="O129" s="163">
        <f>+Ingresos!O221</f>
        <v>1.165</v>
      </c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3:37" x14ac:dyDescent="0.25">
      <c r="C130" s="5" t="s">
        <v>300</v>
      </c>
      <c r="D130" s="94" t="str">
        <f t="shared" si="69"/>
        <v>APMT</v>
      </c>
      <c r="E130" s="94" t="s">
        <v>53</v>
      </c>
      <c r="G130" s="163">
        <f>+Ingresos!G222</f>
        <v>10.210000000000001</v>
      </c>
      <c r="H130" s="163">
        <f>+Ingresos!H222</f>
        <v>5.8170000000000002</v>
      </c>
      <c r="I130" s="163">
        <f>+Ingresos!I222</f>
        <v>2.2549999999999999</v>
      </c>
      <c r="J130" s="163">
        <f>+Ingresos!J222</f>
        <v>1.3859999999999999</v>
      </c>
      <c r="K130" s="163">
        <f>+Ingresos!K222</f>
        <v>2.9289999999999998</v>
      </c>
      <c r="L130" s="163">
        <f>+Ingresos!L222</f>
        <v>15.054</v>
      </c>
      <c r="M130" s="163">
        <f>+Ingresos!M222</f>
        <v>13.249000000000001</v>
      </c>
      <c r="N130" s="163">
        <f>+Ingresos!N222</f>
        <v>10.771000000000001</v>
      </c>
      <c r="O130" s="163">
        <f>+Ingresos!O222</f>
        <v>3.6579999999999999</v>
      </c>
      <c r="Q130" s="145"/>
      <c r="R130" s="145"/>
      <c r="S130" s="145"/>
      <c r="T130" s="145"/>
      <c r="U130" s="145"/>
      <c r="V130" s="145"/>
      <c r="W130" s="145"/>
      <c r="X130" s="145"/>
      <c r="Y130" s="145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3:37" x14ac:dyDescent="0.25">
      <c r="C131" s="5" t="s">
        <v>263</v>
      </c>
      <c r="D131" s="6" t="str">
        <f t="shared" si="69"/>
        <v>APMT</v>
      </c>
      <c r="E131" s="6" t="s">
        <v>280</v>
      </c>
      <c r="G131" s="163">
        <f>+Ingresos!G223</f>
        <v>1465.601212</v>
      </c>
      <c r="H131" s="163">
        <f>+Ingresos!H223</f>
        <v>1797.5931399999988</v>
      </c>
      <c r="I131" s="163">
        <f>+Ingresos!I223</f>
        <v>1804.9606480000014</v>
      </c>
      <c r="J131" s="163">
        <f>+Ingresos!J223</f>
        <v>1824.5340829999998</v>
      </c>
      <c r="K131" s="163">
        <f>+Ingresos!K223</f>
        <v>1907.3406519999999</v>
      </c>
      <c r="L131" s="163">
        <f>+Ingresos!L223</f>
        <v>1798.8334905000004</v>
      </c>
      <c r="M131" s="163">
        <f>+Ingresos!M223</f>
        <v>1876.0611407191604</v>
      </c>
      <c r="N131" s="163">
        <f>+Ingresos!N223</f>
        <v>2310.8987121924129</v>
      </c>
      <c r="O131" s="163">
        <f>+Ingresos!O223</f>
        <v>2225.3258676652331</v>
      </c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3:37" x14ac:dyDescent="0.25">
      <c r="C132" s="5" t="s">
        <v>264</v>
      </c>
      <c r="D132" s="6" t="str">
        <f t="shared" si="69"/>
        <v>APMT</v>
      </c>
      <c r="E132" s="6" t="s">
        <v>280</v>
      </c>
      <c r="G132" s="163">
        <f>+Ingresos!G224</f>
        <v>362.21492440000003</v>
      </c>
      <c r="H132" s="163">
        <f>+Ingresos!H224</f>
        <v>438.34010899999998</v>
      </c>
      <c r="I132" s="163">
        <f>+Ingresos!I224</f>
        <v>439.71523599999983</v>
      </c>
      <c r="J132" s="163">
        <f>+Ingresos!J224</f>
        <v>344.77597300000002</v>
      </c>
      <c r="K132" s="163">
        <f>+Ingresos!K224</f>
        <v>341.83041299999996</v>
      </c>
      <c r="L132" s="163">
        <f>+Ingresos!L224</f>
        <v>290.74187409999996</v>
      </c>
      <c r="M132" s="163">
        <f>+Ingresos!M224</f>
        <v>334.50521000000003</v>
      </c>
      <c r="N132" s="163">
        <f>+Ingresos!N224</f>
        <v>319.56130325251996</v>
      </c>
      <c r="O132" s="163">
        <f>+Ingresos!O224</f>
        <v>313.67832970000001</v>
      </c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3:37" x14ac:dyDescent="0.25">
      <c r="C133" s="5" t="s">
        <v>265</v>
      </c>
      <c r="D133" s="6" t="str">
        <f t="shared" si="69"/>
        <v>APMT</v>
      </c>
      <c r="E133" s="6" t="s">
        <v>280</v>
      </c>
      <c r="G133" s="163">
        <f>+Ingresos!G225</f>
        <v>6075.2348499999998</v>
      </c>
      <c r="H133" s="163">
        <f>+Ingresos!H225</f>
        <v>6046.6319089999997</v>
      </c>
      <c r="I133" s="163">
        <f>+Ingresos!I225</f>
        <v>6322.7162230000013</v>
      </c>
      <c r="J133" s="163">
        <f>+Ingresos!J225</f>
        <v>5430.5033540000004</v>
      </c>
      <c r="K133" s="163">
        <f>+Ingresos!K225</f>
        <v>4451.496404999999</v>
      </c>
      <c r="L133" s="163">
        <f>+Ingresos!L225</f>
        <v>4971.1284900000001</v>
      </c>
      <c r="M133" s="163">
        <f>+Ingresos!M225</f>
        <v>5831.0633129999997</v>
      </c>
      <c r="N133" s="163">
        <f>+Ingresos!N225</f>
        <v>5623.5507929999967</v>
      </c>
      <c r="O133" s="163">
        <f>+Ingresos!O225</f>
        <v>6011.1892375000025</v>
      </c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3:37" x14ac:dyDescent="0.25">
      <c r="C134" s="5" t="s">
        <v>266</v>
      </c>
      <c r="D134" s="6" t="str">
        <f t="shared" si="69"/>
        <v>APMT</v>
      </c>
      <c r="E134" s="6" t="s">
        <v>280</v>
      </c>
      <c r="G134" s="163">
        <f>+Ingresos!G226</f>
        <v>2472.3601840000006</v>
      </c>
      <c r="H134" s="163">
        <f>+Ingresos!H226</f>
        <v>2702.0075930000003</v>
      </c>
      <c r="I134" s="163">
        <f>+Ingresos!I226</f>
        <v>3206.4397750000003</v>
      </c>
      <c r="J134" s="163">
        <f>+Ingresos!J226</f>
        <v>2819.3637940000003</v>
      </c>
      <c r="K134" s="163">
        <f>+Ingresos!K226</f>
        <v>2715.1628600000008</v>
      </c>
      <c r="L134" s="163">
        <f>+Ingresos!L226</f>
        <v>2981.3205599999997</v>
      </c>
      <c r="M134" s="163">
        <f>+Ingresos!M226</f>
        <v>2963.8499429999965</v>
      </c>
      <c r="N134" s="163">
        <f>+Ingresos!N226</f>
        <v>2702.0020014927977</v>
      </c>
      <c r="O134" s="163">
        <f>+Ingresos!O226</f>
        <v>2687.9056132735191</v>
      </c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3:37" x14ac:dyDescent="0.25">
      <c r="C135" s="5" t="s">
        <v>267</v>
      </c>
      <c r="D135" s="6" t="str">
        <f t="shared" si="69"/>
        <v>APMT</v>
      </c>
      <c r="E135" s="6" t="s">
        <v>281</v>
      </c>
      <c r="G135" s="163">
        <f>+Ingresos!G227</f>
        <v>8.5399999999999991</v>
      </c>
      <c r="H135" s="163">
        <f>+Ingresos!H227</f>
        <v>20.893000000000001</v>
      </c>
      <c r="I135" s="163">
        <f>+Ingresos!I227</f>
        <v>23.856000000000002</v>
      </c>
      <c r="J135" s="163">
        <f>+Ingresos!J227</f>
        <v>24.544</v>
      </c>
      <c r="K135" s="163">
        <f>+Ingresos!K227</f>
        <v>28.016999999999999</v>
      </c>
      <c r="L135" s="163">
        <f>+Ingresos!L227</f>
        <v>26.225000000000001</v>
      </c>
      <c r="M135" s="163">
        <f>+Ingresos!M227</f>
        <v>29.192</v>
      </c>
      <c r="N135" s="163">
        <f>+Ingresos!N227</f>
        <v>31.007000000000001</v>
      </c>
      <c r="O135" s="163">
        <f>+Ingresos!O227</f>
        <v>32.176000000000002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3:37" x14ac:dyDescent="0.25">
      <c r="C136" s="5"/>
      <c r="G136" s="163"/>
      <c r="H136" s="163"/>
      <c r="I136" s="163"/>
      <c r="J136" s="163"/>
      <c r="K136" s="163"/>
      <c r="L136" s="163"/>
      <c r="M136" s="163"/>
      <c r="N136" s="163"/>
      <c r="O136" s="163"/>
    </row>
    <row r="137" spans="3:37" x14ac:dyDescent="0.25">
      <c r="C137" s="5" t="s">
        <v>18</v>
      </c>
      <c r="D137" s="6" t="str">
        <f t="shared" ref="D137:D152" si="70">+D102</f>
        <v>APMT</v>
      </c>
      <c r="E137" s="6" t="s">
        <v>282</v>
      </c>
      <c r="G137" s="163">
        <f>+Ingresos!G229</f>
        <v>202.30799999999999</v>
      </c>
      <c r="H137" s="163">
        <f>+Ingresos!H229</f>
        <v>324.39600000000002</v>
      </c>
      <c r="I137" s="163">
        <f>+Ingresos!I229</f>
        <v>238</v>
      </c>
      <c r="J137" s="163">
        <f>+Ingresos!J229</f>
        <v>208.792</v>
      </c>
      <c r="K137" s="163">
        <f>+Ingresos!K229</f>
        <v>201.41399999999999</v>
      </c>
      <c r="L137" s="163">
        <f>+Ingresos!L229</f>
        <v>654.50300000000004</v>
      </c>
      <c r="M137" s="163">
        <f>+Ingresos!M229</f>
        <v>748.81</v>
      </c>
      <c r="N137" s="163">
        <f>+Ingresos!N229</f>
        <v>1109.229</v>
      </c>
      <c r="O137" s="163">
        <f>+Ingresos!O229</f>
        <v>664.56399999999996</v>
      </c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3:37" x14ac:dyDescent="0.25">
      <c r="C138" s="5" t="s">
        <v>19</v>
      </c>
      <c r="D138" s="6" t="str">
        <f t="shared" si="70"/>
        <v>APMT</v>
      </c>
      <c r="E138" s="6" t="s">
        <v>280</v>
      </c>
      <c r="G138" s="163">
        <f>+Ingresos!G230</f>
        <v>106.3930125</v>
      </c>
      <c r="H138" s="163">
        <f>+Ingresos!H230</f>
        <v>87.509732500000027</v>
      </c>
      <c r="I138" s="163">
        <f>+Ingresos!I230</f>
        <v>56.694232000000007</v>
      </c>
      <c r="J138" s="163">
        <f>+Ingresos!J230</f>
        <v>40.477599999999995</v>
      </c>
      <c r="K138" s="163">
        <f>+Ingresos!K230</f>
        <v>78.184678999999946</v>
      </c>
      <c r="L138" s="163">
        <f>+Ingresos!L230</f>
        <v>27.408721199999999</v>
      </c>
      <c r="M138" s="163">
        <f>+Ingresos!M230</f>
        <v>52.131342052000008</v>
      </c>
      <c r="N138" s="163">
        <f>+Ingresos!N230</f>
        <v>26.654151999999996</v>
      </c>
      <c r="O138" s="163">
        <f>+Ingresos!O230</f>
        <v>60.338999999999999</v>
      </c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3:37" x14ac:dyDescent="0.25">
      <c r="C139" s="5" t="s">
        <v>20</v>
      </c>
      <c r="D139" s="6" t="str">
        <f t="shared" si="70"/>
        <v>APMT</v>
      </c>
      <c r="E139" s="6" t="s">
        <v>280</v>
      </c>
      <c r="G139" s="163">
        <f>+Ingresos!G231</f>
        <v>12.453787193651728</v>
      </c>
      <c r="H139" s="163">
        <f>+Ingresos!H231</f>
        <v>45.946376473489281</v>
      </c>
      <c r="I139" s="163">
        <f>+Ingresos!I231</f>
        <v>43.207650000000001</v>
      </c>
      <c r="J139" s="163">
        <f>+Ingresos!J231</f>
        <v>30.712169999999997</v>
      </c>
      <c r="K139" s="163">
        <f>+Ingresos!K231</f>
        <v>37.012560300000004</v>
      </c>
      <c r="L139" s="163">
        <f>+Ingresos!L231</f>
        <v>14.983331000000002</v>
      </c>
      <c r="M139" s="163">
        <f>+Ingresos!M231</f>
        <v>17.783037326470584</v>
      </c>
      <c r="N139" s="163">
        <f>+Ingresos!N231</f>
        <v>19.492092</v>
      </c>
      <c r="O139" s="163">
        <f>+Ingresos!O231</f>
        <v>31.770979999999998</v>
      </c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3:37" x14ac:dyDescent="0.25">
      <c r="C140" s="5" t="s">
        <v>21</v>
      </c>
      <c r="D140" s="6" t="str">
        <f t="shared" si="70"/>
        <v>APMT</v>
      </c>
      <c r="E140" s="6" t="s">
        <v>280</v>
      </c>
      <c r="G140" s="163">
        <f>+Ingresos!G232</f>
        <v>461.87110193023256</v>
      </c>
      <c r="H140" s="163">
        <f>+Ingresos!H232</f>
        <v>354.32627765116268</v>
      </c>
      <c r="I140" s="163">
        <f>+Ingresos!I232</f>
        <v>164.71939023255814</v>
      </c>
      <c r="J140" s="163">
        <f>+Ingresos!J232</f>
        <v>63.400718459302325</v>
      </c>
      <c r="K140" s="163">
        <f>+Ingresos!K232</f>
        <v>10.204235000000001</v>
      </c>
      <c r="L140" s="163">
        <f>+Ingresos!L232</f>
        <v>0</v>
      </c>
      <c r="M140" s="163">
        <f>+Ingresos!M232</f>
        <v>0</v>
      </c>
      <c r="N140" s="163">
        <f>+Ingresos!N232</f>
        <v>3.5188999999999998E-2</v>
      </c>
      <c r="O140" s="163">
        <f>+Ingresos!O232</f>
        <v>89.03761999999999</v>
      </c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3:37" x14ac:dyDescent="0.25">
      <c r="C141" s="5" t="s">
        <v>22</v>
      </c>
      <c r="D141" s="6" t="str">
        <f t="shared" si="70"/>
        <v>APMT</v>
      </c>
      <c r="E141" s="6" t="s">
        <v>232</v>
      </c>
      <c r="G141" s="163">
        <f>+Ingresos!G233</f>
        <v>0</v>
      </c>
      <c r="H141" s="163">
        <f>+Ingresos!H233</f>
        <v>0</v>
      </c>
      <c r="I141" s="163">
        <f>+Ingresos!I233</f>
        <v>0.88500000000000001</v>
      </c>
      <c r="J141" s="163">
        <f>+Ingresos!J233</f>
        <v>0.60899999999999999</v>
      </c>
      <c r="K141" s="163">
        <f>+Ingresos!K233</f>
        <v>0.59599999999999997</v>
      </c>
      <c r="L141" s="163">
        <f>+Ingresos!L233</f>
        <v>0.19900000000000001</v>
      </c>
      <c r="M141" s="163">
        <f>+Ingresos!M233</f>
        <v>3.1E-2</v>
      </c>
      <c r="N141" s="163">
        <f>+Ingresos!N233</f>
        <v>0</v>
      </c>
      <c r="O141" s="163">
        <f>+Ingresos!O233</f>
        <v>0.01</v>
      </c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3:37" x14ac:dyDescent="0.25">
      <c r="C142" s="5" t="s">
        <v>23</v>
      </c>
      <c r="D142" s="6" t="str">
        <f t="shared" si="70"/>
        <v>APMT</v>
      </c>
      <c r="E142" s="6" t="s">
        <v>280</v>
      </c>
      <c r="G142" s="163">
        <f>+Ingresos!G234</f>
        <v>0</v>
      </c>
      <c r="H142" s="163">
        <f>+Ingresos!H234</f>
        <v>0</v>
      </c>
      <c r="I142" s="163">
        <f>+Ingresos!I234</f>
        <v>93.910618901303522</v>
      </c>
      <c r="J142" s="163">
        <f>+Ingresos!J234</f>
        <v>93.153869974212782</v>
      </c>
      <c r="K142" s="163">
        <f>+Ingresos!K234</f>
        <v>99.357734999999991</v>
      </c>
      <c r="L142" s="163">
        <f>+Ingresos!L234</f>
        <v>6.7356999999999996</v>
      </c>
      <c r="M142" s="163">
        <f>+Ingresos!M234</f>
        <v>30.870270000000001</v>
      </c>
      <c r="N142" s="163">
        <f>+Ingresos!N234</f>
        <v>0</v>
      </c>
      <c r="O142" s="163">
        <f>+Ingresos!O234</f>
        <v>0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3:37" x14ac:dyDescent="0.25">
      <c r="C143" s="5" t="s">
        <v>24</v>
      </c>
      <c r="D143" s="6" t="str">
        <f t="shared" si="70"/>
        <v>APMT</v>
      </c>
      <c r="E143" s="6" t="s">
        <v>280</v>
      </c>
      <c r="G143" s="163">
        <f>+Ingresos!G235</f>
        <v>0</v>
      </c>
      <c r="H143" s="163">
        <f>+Ingresos!H235</f>
        <v>0</v>
      </c>
      <c r="I143" s="163">
        <f>+Ingresos!I235</f>
        <v>31.672961220472441</v>
      </c>
      <c r="J143" s="163">
        <f>+Ingresos!J235</f>
        <v>19.144270000000002</v>
      </c>
      <c r="K143" s="163">
        <f>+Ingresos!K235</f>
        <v>40.329461666666681</v>
      </c>
      <c r="L143" s="163">
        <f>+Ingresos!L235</f>
        <v>14.864283999999998</v>
      </c>
      <c r="M143" s="163">
        <f>+Ingresos!M235</f>
        <v>12.930685999999994</v>
      </c>
      <c r="N143" s="163">
        <f>+Ingresos!N235</f>
        <v>10.178103991999999</v>
      </c>
      <c r="O143" s="163">
        <f>+Ingresos!O235</f>
        <v>19.345993999999997</v>
      </c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3:37" x14ac:dyDescent="0.25">
      <c r="C144" s="5" t="s">
        <v>268</v>
      </c>
      <c r="D144" s="6" t="str">
        <f t="shared" si="70"/>
        <v>APMT</v>
      </c>
      <c r="E144" s="6" t="s">
        <v>53</v>
      </c>
      <c r="G144" s="163">
        <f>+Ingresos!G236</f>
        <v>1.29</v>
      </c>
      <c r="H144" s="163">
        <f>+Ingresos!H236</f>
        <v>2.1850000000000001</v>
      </c>
      <c r="I144" s="163">
        <f>+Ingresos!I236</f>
        <v>2.048</v>
      </c>
      <c r="J144" s="163">
        <f>+Ingresos!J236</f>
        <v>1.222</v>
      </c>
      <c r="K144" s="163">
        <f>+Ingresos!K236</f>
        <v>1.5029999999999999</v>
      </c>
      <c r="L144" s="163">
        <f>+Ingresos!L236</f>
        <v>1.3979999999999999</v>
      </c>
      <c r="M144" s="163">
        <f>+Ingresos!M236</f>
        <v>0.99199999999999999</v>
      </c>
      <c r="N144" s="163">
        <f>+Ingresos!N236</f>
        <v>2.125</v>
      </c>
      <c r="O144" s="163">
        <f>+Ingresos!O236</f>
        <v>2.8919999999999999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2:35" x14ac:dyDescent="0.25">
      <c r="C145" s="5" t="s">
        <v>269</v>
      </c>
      <c r="D145" s="6" t="str">
        <f t="shared" si="70"/>
        <v>APMT</v>
      </c>
      <c r="E145" s="6" t="s">
        <v>53</v>
      </c>
      <c r="G145" s="163">
        <f>+Ingresos!G237</f>
        <v>0</v>
      </c>
      <c r="H145" s="163">
        <f>+Ingresos!H237</f>
        <v>0</v>
      </c>
      <c r="I145" s="163">
        <f>+Ingresos!I237</f>
        <v>25.202000000000002</v>
      </c>
      <c r="J145" s="163">
        <f>+Ingresos!J237</f>
        <v>22.047000000000001</v>
      </c>
      <c r="K145" s="163">
        <f>+Ingresos!K237</f>
        <v>26.606999999999999</v>
      </c>
      <c r="L145" s="163">
        <f>+Ingresos!L237</f>
        <v>30.963000000000001</v>
      </c>
      <c r="M145" s="163">
        <f>+Ingresos!M237</f>
        <v>44.872999999999998</v>
      </c>
      <c r="N145" s="163">
        <f>+Ingresos!N237</f>
        <v>47.222999999999999</v>
      </c>
      <c r="O145" s="163">
        <f>+Ingresos!O237</f>
        <v>53.673999999999999</v>
      </c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2:35" x14ac:dyDescent="0.25">
      <c r="C146" s="5" t="s">
        <v>25</v>
      </c>
      <c r="D146" s="6" t="str">
        <f t="shared" si="70"/>
        <v>APMT</v>
      </c>
      <c r="E146" s="6" t="s">
        <v>283</v>
      </c>
      <c r="G146" s="163">
        <f>+Ingresos!G238</f>
        <v>0.98799999999999999</v>
      </c>
      <c r="H146" s="163">
        <f>+Ingresos!H238</f>
        <v>2.0990000000000002</v>
      </c>
      <c r="I146" s="163">
        <f>+Ingresos!I238</f>
        <v>1.9670000000000001</v>
      </c>
      <c r="J146" s="163">
        <f>+Ingresos!J238</f>
        <v>1.355</v>
      </c>
      <c r="K146" s="163">
        <f>+Ingresos!K238</f>
        <v>1.129</v>
      </c>
      <c r="L146" s="163">
        <f>+Ingresos!L238</f>
        <v>1.224</v>
      </c>
      <c r="M146" s="163">
        <f>+Ingresos!M238</f>
        <v>1.4239999999999999</v>
      </c>
      <c r="N146" s="163">
        <f>+Ingresos!N238</f>
        <v>1.6850000000000001</v>
      </c>
      <c r="O146" s="163">
        <f>+Ingresos!O238</f>
        <v>1.218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2:35" x14ac:dyDescent="0.25">
      <c r="C147" s="5" t="s">
        <v>26</v>
      </c>
      <c r="D147" s="6" t="str">
        <f t="shared" si="70"/>
        <v>APMT</v>
      </c>
      <c r="E147" s="6" t="s">
        <v>283</v>
      </c>
      <c r="G147" s="163">
        <f>+Ingresos!G239</f>
        <v>0</v>
      </c>
      <c r="H147" s="163">
        <f>+Ingresos!H239</f>
        <v>0</v>
      </c>
      <c r="I147" s="163">
        <f>+Ingresos!I239</f>
        <v>1.0009999999999999</v>
      </c>
      <c r="J147" s="163">
        <f>+Ingresos!J239</f>
        <v>1.125</v>
      </c>
      <c r="K147" s="163">
        <f>+Ingresos!K239</f>
        <v>1.1000000000000001</v>
      </c>
      <c r="L147" s="163">
        <f>+Ingresos!L239</f>
        <v>1.2949999999999999</v>
      </c>
      <c r="M147" s="163">
        <f>+Ingresos!M239</f>
        <v>1.7210000000000001</v>
      </c>
      <c r="N147" s="163">
        <f>+Ingresos!N239</f>
        <v>2.8180000000000001</v>
      </c>
      <c r="O147" s="163">
        <f>+Ingresos!O239</f>
        <v>3.121</v>
      </c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2:35" x14ac:dyDescent="0.25">
      <c r="C148" s="5" t="s">
        <v>27</v>
      </c>
      <c r="D148" s="6" t="str">
        <f t="shared" si="70"/>
        <v>APMT</v>
      </c>
      <c r="E148" s="6" t="s">
        <v>280</v>
      </c>
      <c r="G148" s="163">
        <f>+Ingresos!G240</f>
        <v>77.279019108280252</v>
      </c>
      <c r="H148" s="163">
        <f>+Ingresos!H240</f>
        <v>72.716999999999956</v>
      </c>
      <c r="I148" s="163">
        <f>+Ingresos!I240</f>
        <v>41.804000000000002</v>
      </c>
      <c r="J148" s="163">
        <f>+Ingresos!J240</f>
        <v>51.756506666666652</v>
      </c>
      <c r="K148" s="163">
        <f>+Ingresos!K240</f>
        <v>32.759</v>
      </c>
      <c r="L148" s="163">
        <f>+Ingresos!L240</f>
        <v>29.26</v>
      </c>
      <c r="M148" s="163">
        <f>+Ingresos!M240</f>
        <v>16.402999999999999</v>
      </c>
      <c r="N148" s="163">
        <f>+Ingresos!N240</f>
        <v>17.485700000000001</v>
      </c>
      <c r="O148" s="163">
        <f>+Ingresos!O240</f>
        <v>19.148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2:35" x14ac:dyDescent="0.25">
      <c r="C149" s="5" t="s">
        <v>28</v>
      </c>
      <c r="D149" s="6" t="str">
        <f t="shared" si="70"/>
        <v>APMT</v>
      </c>
      <c r="E149" s="6" t="s">
        <v>284</v>
      </c>
      <c r="G149" s="163">
        <f>+Ingresos!G241</f>
        <v>0</v>
      </c>
      <c r="H149" s="163">
        <f>+Ingresos!H241</f>
        <v>0</v>
      </c>
      <c r="I149" s="163">
        <f>+Ingresos!I241</f>
        <v>0</v>
      </c>
      <c r="J149" s="163">
        <f>+Ingresos!J241</f>
        <v>1.1245307443365695</v>
      </c>
      <c r="K149" s="163">
        <f>+Ingresos!K241</f>
        <v>1.071</v>
      </c>
      <c r="L149" s="163">
        <f>+Ingresos!L241</f>
        <v>1.0960000000000001</v>
      </c>
      <c r="M149" s="163">
        <f>+Ingresos!M241</f>
        <v>0.85799999999999998</v>
      </c>
      <c r="N149" s="163">
        <f>+Ingresos!N241</f>
        <v>0.73</v>
      </c>
      <c r="O149" s="163">
        <f>+Ingresos!O241</f>
        <v>0.621</v>
      </c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2:35" x14ac:dyDescent="0.25">
      <c r="C150" s="5" t="s">
        <v>270</v>
      </c>
      <c r="D150" s="6" t="str">
        <f t="shared" si="70"/>
        <v>APMT</v>
      </c>
      <c r="E150" s="6" t="s">
        <v>283</v>
      </c>
      <c r="G150" s="163">
        <f>+Ingresos!G242</f>
        <v>0</v>
      </c>
      <c r="H150" s="163">
        <f>+Ingresos!H242</f>
        <v>0</v>
      </c>
      <c r="I150" s="163">
        <f>+Ingresos!I242</f>
        <v>0</v>
      </c>
      <c r="J150" s="163">
        <f>+Ingresos!J242</f>
        <v>198.66315217391306</v>
      </c>
      <c r="K150" s="163">
        <f>+Ingresos!K242</f>
        <v>293.32799999999997</v>
      </c>
      <c r="L150" s="163">
        <f>+Ingresos!L242</f>
        <v>506.06400000000002</v>
      </c>
      <c r="M150" s="163">
        <f>+Ingresos!M242</f>
        <v>574.57600000000002</v>
      </c>
      <c r="N150" s="163">
        <f>+Ingresos!N242</f>
        <v>653.21199999999999</v>
      </c>
      <c r="O150" s="163">
        <f>+Ingresos!O242</f>
        <v>520.553</v>
      </c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2:35" x14ac:dyDescent="0.25">
      <c r="C151" s="5" t="s">
        <v>29</v>
      </c>
      <c r="D151" s="6" t="str">
        <f t="shared" si="70"/>
        <v>APMT</v>
      </c>
      <c r="E151" s="6" t="s">
        <v>54</v>
      </c>
      <c r="G151" s="173">
        <f>+G116/G186</f>
        <v>2.5333365869111186</v>
      </c>
      <c r="H151" s="173">
        <f t="shared" ref="H151:N151" si="71">+H116/H186</f>
        <v>2.7391702241864917</v>
      </c>
      <c r="I151" s="173">
        <f t="shared" si="71"/>
        <v>2.3658621312371571</v>
      </c>
      <c r="J151" s="173">
        <f t="shared" si="71"/>
        <v>2.8259797696845399</v>
      </c>
      <c r="K151" s="173">
        <f t="shared" si="71"/>
        <v>2.4639661966249236</v>
      </c>
      <c r="L151" s="173">
        <f t="shared" si="71"/>
        <v>5.649736184130135</v>
      </c>
      <c r="M151" s="173">
        <f t="shared" si="71"/>
        <v>7.6901641781379402</v>
      </c>
      <c r="N151" s="173">
        <f t="shared" si="71"/>
        <v>11.692516787384466</v>
      </c>
      <c r="O151" s="173">
        <f>+O116/O186</f>
        <v>6.4074298627353965</v>
      </c>
    </row>
    <row r="152" spans="2:35" ht="13.5" thickBot="1" x14ac:dyDescent="0.35">
      <c r="C152" s="72" t="s">
        <v>110</v>
      </c>
      <c r="D152" s="75" t="str">
        <f t="shared" si="70"/>
        <v>APMT</v>
      </c>
      <c r="E152" s="75" t="s">
        <v>54</v>
      </c>
      <c r="F152" s="7"/>
      <c r="G152" s="165">
        <f t="shared" ref="G152:N152" si="72">+SUM(G122:G151)</f>
        <v>25306.168890746005</v>
      </c>
      <c r="H152" s="165">
        <f t="shared" si="72"/>
        <v>25702.253175983245</v>
      </c>
      <c r="I152" s="165">
        <f t="shared" si="72"/>
        <v>28707.364795098896</v>
      </c>
      <c r="J152" s="165">
        <f t="shared" si="72"/>
        <v>25583.801273969108</v>
      </c>
      <c r="K152" s="165">
        <f t="shared" si="72"/>
        <v>24900.160884668818</v>
      </c>
      <c r="L152" s="165">
        <f t="shared" si="72"/>
        <v>23807.231050050439</v>
      </c>
      <c r="M152" s="165">
        <f t="shared" si="72"/>
        <v>25282.909393959708</v>
      </c>
      <c r="N152" s="165">
        <f t="shared" si="72"/>
        <v>25708.427033564552</v>
      </c>
      <c r="O152" s="165">
        <f>+SUM(O122:O151)</f>
        <v>24854.687681722193</v>
      </c>
    </row>
    <row r="153" spans="2:35" x14ac:dyDescent="0.25">
      <c r="G153" s="205"/>
      <c r="H153" s="205"/>
      <c r="I153" s="205"/>
      <c r="J153" s="205"/>
      <c r="K153" s="205"/>
      <c r="L153" s="205"/>
      <c r="M153" s="205"/>
      <c r="N153" s="205"/>
      <c r="O153" s="205"/>
    </row>
    <row r="154" spans="2:35" ht="13" x14ac:dyDescent="0.3">
      <c r="B154" s="3" t="s">
        <v>296</v>
      </c>
      <c r="C154" s="95"/>
      <c r="D154" s="2"/>
      <c r="E154" s="2"/>
      <c r="F154" s="1"/>
      <c r="G154" s="146"/>
      <c r="H154" s="146"/>
      <c r="I154" s="146"/>
      <c r="J154" s="146"/>
      <c r="K154" s="146"/>
      <c r="L154" s="146"/>
      <c r="M154" s="146"/>
      <c r="N154" s="146"/>
      <c r="O154" s="146"/>
    </row>
    <row r="155" spans="2:35" x14ac:dyDescent="0.25">
      <c r="G155" s="242"/>
      <c r="H155" s="242"/>
      <c r="I155" s="242"/>
      <c r="J155" s="242"/>
      <c r="K155" s="242"/>
      <c r="L155" s="242"/>
      <c r="M155" s="242"/>
      <c r="N155" s="242"/>
      <c r="O155" s="242"/>
    </row>
    <row r="156" spans="2:35" ht="13" x14ac:dyDescent="0.3">
      <c r="B156" s="7" t="s">
        <v>246</v>
      </c>
      <c r="G156" s="170"/>
      <c r="H156" s="170"/>
      <c r="I156" s="170"/>
      <c r="J156" s="170"/>
      <c r="K156" s="170"/>
      <c r="L156" s="170"/>
      <c r="M156" s="170"/>
      <c r="N156" s="170"/>
      <c r="O156" s="170"/>
    </row>
    <row r="157" spans="2:35" x14ac:dyDescent="0.25">
      <c r="C157" s="5" t="s">
        <v>11</v>
      </c>
      <c r="D157" s="94" t="str">
        <f t="shared" ref="D157:D170" si="73">+D122</f>
        <v>APMT</v>
      </c>
      <c r="E157" s="94" t="s">
        <v>285</v>
      </c>
      <c r="G157" s="163">
        <f t="shared" ref="G157:O157" si="74">IFERROR(+G87/G122,0)</f>
        <v>0.65242171029686102</v>
      </c>
      <c r="H157" s="163">
        <f t="shared" si="74"/>
        <v>0.66012662554479218</v>
      </c>
      <c r="I157" s="163">
        <f t="shared" si="74"/>
        <v>0.64495171838336163</v>
      </c>
      <c r="J157" s="163">
        <f t="shared" si="74"/>
        <v>0.61482717811190069</v>
      </c>
      <c r="K157" s="163">
        <f t="shared" si="74"/>
        <v>0.65761169156335453</v>
      </c>
      <c r="L157" s="163">
        <f t="shared" si="74"/>
        <v>0.70762533118923332</v>
      </c>
      <c r="M157" s="163">
        <f t="shared" si="74"/>
        <v>0.81768292138873677</v>
      </c>
      <c r="N157" s="163">
        <f t="shared" si="74"/>
        <v>0.93236041068638653</v>
      </c>
      <c r="O157" s="163">
        <f t="shared" si="74"/>
        <v>1.0189819451433717</v>
      </c>
    </row>
    <row r="158" spans="2:35" x14ac:dyDescent="0.25">
      <c r="C158" s="5" t="s">
        <v>12</v>
      </c>
      <c r="D158" s="94" t="str">
        <f t="shared" si="73"/>
        <v>APMT</v>
      </c>
      <c r="E158" s="94" t="s">
        <v>233</v>
      </c>
      <c r="G158" s="163">
        <f t="shared" ref="G158:O158" si="75">IFERROR(+G88/G123,0)</f>
        <v>69.497116076467918</v>
      </c>
      <c r="H158" s="163">
        <f t="shared" si="75"/>
        <v>73.216639387745076</v>
      </c>
      <c r="I158" s="163">
        <f t="shared" si="75"/>
        <v>74.001203612376329</v>
      </c>
      <c r="J158" s="163">
        <f t="shared" si="75"/>
        <v>79.334057087600755</v>
      </c>
      <c r="K158" s="163">
        <f t="shared" si="75"/>
        <v>85.651930716486163</v>
      </c>
      <c r="L158" s="163">
        <f t="shared" si="75"/>
        <v>90.703878014407564</v>
      </c>
      <c r="M158" s="163">
        <f t="shared" si="75"/>
        <v>100.31733485330656</v>
      </c>
      <c r="N158" s="163">
        <f t="shared" si="75"/>
        <v>108.9068448623423</v>
      </c>
      <c r="O158" s="163">
        <f t="shared" si="75"/>
        <v>109.23960001370193</v>
      </c>
    </row>
    <row r="159" spans="2:35" x14ac:dyDescent="0.25">
      <c r="C159" s="5" t="s">
        <v>13</v>
      </c>
      <c r="D159" s="94" t="str">
        <f t="shared" si="73"/>
        <v>APMT</v>
      </c>
      <c r="E159" s="94" t="s">
        <v>233</v>
      </c>
      <c r="G159" s="163">
        <f t="shared" ref="G159:O159" si="76">IFERROR(+G89/G124,0)</f>
        <v>104.3366182328533</v>
      </c>
      <c r="H159" s="163">
        <f t="shared" si="76"/>
        <v>109.60318887069181</v>
      </c>
      <c r="I159" s="163">
        <f t="shared" si="76"/>
        <v>109.36621056872438</v>
      </c>
      <c r="J159" s="163">
        <f t="shared" si="76"/>
        <v>120.34315035791029</v>
      </c>
      <c r="K159" s="163">
        <f t="shared" si="76"/>
        <v>128.20445359694648</v>
      </c>
      <c r="L159" s="163">
        <f t="shared" si="76"/>
        <v>137.37362705894162</v>
      </c>
      <c r="M159" s="163">
        <f t="shared" si="76"/>
        <v>146.33656343798623</v>
      </c>
      <c r="N159" s="163">
        <f t="shared" si="76"/>
        <v>158.56586035810514</v>
      </c>
      <c r="O159" s="163">
        <f t="shared" si="76"/>
        <v>166.1412132561222</v>
      </c>
    </row>
    <row r="160" spans="2:35" x14ac:dyDescent="0.25">
      <c r="C160" s="5" t="s">
        <v>14</v>
      </c>
      <c r="D160" s="94" t="str">
        <f t="shared" si="73"/>
        <v>APMT</v>
      </c>
      <c r="E160" s="94" t="s">
        <v>233</v>
      </c>
      <c r="G160" s="163">
        <f t="shared" ref="G160:O160" si="77">IFERROR(+G90/G125,0)</f>
        <v>55.544022668865487</v>
      </c>
      <c r="H160" s="163">
        <f t="shared" si="77"/>
        <v>57.831358495803961</v>
      </c>
      <c r="I160" s="163">
        <f t="shared" si="77"/>
        <v>57.830853335298094</v>
      </c>
      <c r="J160" s="163">
        <f t="shared" si="77"/>
        <v>64.316819183845709</v>
      </c>
      <c r="K160" s="163">
        <f t="shared" si="77"/>
        <v>63.662887289367049</v>
      </c>
      <c r="L160" s="163">
        <f t="shared" si="77"/>
        <v>71.354139265887966</v>
      </c>
      <c r="M160" s="163">
        <f t="shared" si="77"/>
        <v>78.223699295929393</v>
      </c>
      <c r="N160" s="163">
        <f t="shared" si="77"/>
        <v>89.838946477163034</v>
      </c>
      <c r="O160" s="163">
        <f t="shared" si="77"/>
        <v>96.390290890593974</v>
      </c>
    </row>
    <row r="161" spans="3:15" x14ac:dyDescent="0.25">
      <c r="C161" s="5" t="s">
        <v>15</v>
      </c>
      <c r="D161" s="94" t="str">
        <f t="shared" si="73"/>
        <v>APMT</v>
      </c>
      <c r="E161" s="94" t="s">
        <v>233</v>
      </c>
      <c r="G161" s="163">
        <f t="shared" ref="G161:O161" si="78">IFERROR(+G91/G126,0)</f>
        <v>85.968840353492027</v>
      </c>
      <c r="H161" s="163">
        <f t="shared" si="78"/>
        <v>88.326833453098175</v>
      </c>
      <c r="I161" s="163">
        <f t="shared" si="78"/>
        <v>89.687477158476298</v>
      </c>
      <c r="J161" s="163">
        <f t="shared" si="78"/>
        <v>94.488207439048452</v>
      </c>
      <c r="K161" s="163">
        <f t="shared" si="78"/>
        <v>98.497180643915627</v>
      </c>
      <c r="L161" s="163">
        <f t="shared" si="78"/>
        <v>105.87005662046305</v>
      </c>
      <c r="M161" s="163">
        <f t="shared" si="78"/>
        <v>131.16018625759421</v>
      </c>
      <c r="N161" s="163">
        <f t="shared" si="78"/>
        <v>133.09273102789271</v>
      </c>
      <c r="O161" s="163">
        <f t="shared" si="78"/>
        <v>138.95563988101893</v>
      </c>
    </row>
    <row r="162" spans="3:15" x14ac:dyDescent="0.25">
      <c r="C162" s="5" t="s">
        <v>297</v>
      </c>
      <c r="D162" s="94" t="str">
        <f t="shared" si="73"/>
        <v>APMT</v>
      </c>
      <c r="E162" s="94" t="s">
        <v>233</v>
      </c>
      <c r="G162" s="163">
        <f t="shared" ref="G162:O162" si="79">IFERROR(+G92/G127,0)</f>
        <v>75.508488924648461</v>
      </c>
      <c r="H162" s="163">
        <f t="shared" si="79"/>
        <v>71.596608337514795</v>
      </c>
      <c r="I162" s="163">
        <f t="shared" si="79"/>
        <v>71.634817135342331</v>
      </c>
      <c r="J162" s="163">
        <f t="shared" si="79"/>
        <v>61.533381327718793</v>
      </c>
      <c r="K162" s="163">
        <f t="shared" si="79"/>
        <v>64.145401955934958</v>
      </c>
      <c r="L162" s="163">
        <f t="shared" si="79"/>
        <v>77.39931463594084</v>
      </c>
      <c r="M162" s="163">
        <f t="shared" si="79"/>
        <v>73.32205415948836</v>
      </c>
      <c r="N162" s="163">
        <f t="shared" si="79"/>
        <v>86.393817951480941</v>
      </c>
      <c r="O162" s="163">
        <f t="shared" si="79"/>
        <v>92.744973842730374</v>
      </c>
    </row>
    <row r="163" spans="3:15" x14ac:dyDescent="0.25">
      <c r="C163" s="5" t="s">
        <v>298</v>
      </c>
      <c r="D163" s="94" t="str">
        <f t="shared" si="73"/>
        <v>APMT</v>
      </c>
      <c r="E163" s="94" t="s">
        <v>233</v>
      </c>
      <c r="G163" s="163">
        <f t="shared" ref="G163:O163" si="80">IFERROR(+G93/G128,0)</f>
        <v>107.84192411199736</v>
      </c>
      <c r="H163" s="163">
        <f t="shared" si="80"/>
        <v>104.60106670692136</v>
      </c>
      <c r="I163" s="163">
        <f t="shared" si="80"/>
        <v>104.99414418105141</v>
      </c>
      <c r="J163" s="163">
        <f t="shared" si="80"/>
        <v>95.137019555961373</v>
      </c>
      <c r="K163" s="163">
        <f t="shared" si="80"/>
        <v>98.362378468205947</v>
      </c>
      <c r="L163" s="163">
        <f t="shared" si="80"/>
        <v>111.39763364397334</v>
      </c>
      <c r="M163" s="163">
        <f t="shared" si="80"/>
        <v>123.68164115045197</v>
      </c>
      <c r="N163" s="163">
        <f t="shared" si="80"/>
        <v>128.848112060087</v>
      </c>
      <c r="O163" s="163">
        <f t="shared" si="80"/>
        <v>137.61671380962463</v>
      </c>
    </row>
    <row r="164" spans="3:15" x14ac:dyDescent="0.25">
      <c r="C164" s="5" t="s">
        <v>299</v>
      </c>
      <c r="D164" s="94" t="str">
        <f t="shared" si="73"/>
        <v>APMT</v>
      </c>
      <c r="E164" s="94" t="s">
        <v>233</v>
      </c>
      <c r="G164" s="163">
        <f t="shared" ref="G164:O164" si="81">IFERROR(+G94/G129,0)</f>
        <v>85.193678786742893</v>
      </c>
      <c r="H164" s="163">
        <f t="shared" si="81"/>
        <v>76.254818318332653</v>
      </c>
      <c r="I164" s="163">
        <f t="shared" si="81"/>
        <v>76.257708423786966</v>
      </c>
      <c r="J164" s="163">
        <f t="shared" si="81"/>
        <v>65.135724958036874</v>
      </c>
      <c r="K164" s="163">
        <f t="shared" si="81"/>
        <v>72.086272338818219</v>
      </c>
      <c r="L164" s="163">
        <f t="shared" si="81"/>
        <v>78.643311320384058</v>
      </c>
      <c r="M164" s="163">
        <f t="shared" si="81"/>
        <v>78.897587234101081</v>
      </c>
      <c r="N164" s="163">
        <f t="shared" si="81"/>
        <v>81.273115196407716</v>
      </c>
      <c r="O164" s="163">
        <f t="shared" si="81"/>
        <v>89.488035251112905</v>
      </c>
    </row>
    <row r="165" spans="3:15" x14ac:dyDescent="0.25">
      <c r="C165" s="5" t="s">
        <v>300</v>
      </c>
      <c r="D165" s="94" t="str">
        <f t="shared" si="73"/>
        <v>APMT</v>
      </c>
      <c r="E165" s="94" t="s">
        <v>233</v>
      </c>
      <c r="G165" s="163">
        <f t="shared" ref="G165:O165" si="82">IFERROR(+G95/G130,0)</f>
        <v>115.14808866924277</v>
      </c>
      <c r="H165" s="163">
        <f t="shared" si="82"/>
        <v>103.80956555879405</v>
      </c>
      <c r="I165" s="163">
        <f t="shared" si="82"/>
        <v>101.12971741881157</v>
      </c>
      <c r="J165" s="163">
        <f t="shared" si="82"/>
        <v>79.002764603099834</v>
      </c>
      <c r="K165" s="163">
        <f t="shared" si="82"/>
        <v>93.50533321426974</v>
      </c>
      <c r="L165" s="163">
        <f t="shared" si="82"/>
        <v>132.01763785379859</v>
      </c>
      <c r="M165" s="163">
        <f t="shared" si="82"/>
        <v>118.05591008010347</v>
      </c>
      <c r="N165" s="163">
        <f t="shared" si="82"/>
        <v>124.98518320722914</v>
      </c>
      <c r="O165" s="163">
        <f t="shared" si="82"/>
        <v>147.93369445303844</v>
      </c>
    </row>
    <row r="166" spans="3:15" x14ac:dyDescent="0.25">
      <c r="C166" s="5" t="s">
        <v>263</v>
      </c>
      <c r="D166" s="94" t="str">
        <f t="shared" si="73"/>
        <v>APMT</v>
      </c>
      <c r="E166" s="6" t="s">
        <v>288</v>
      </c>
      <c r="G166" s="163">
        <f t="shared" ref="G166:O166" si="83">IFERROR(+G96/G131,0)</f>
        <v>7.4632758305082252</v>
      </c>
      <c r="H166" s="163">
        <f t="shared" si="83"/>
        <v>6.7403673015940457</v>
      </c>
      <c r="I166" s="163">
        <f t="shared" si="83"/>
        <v>6.8692043801465799</v>
      </c>
      <c r="J166" s="163">
        <f t="shared" si="83"/>
        <v>7.2195834114096815</v>
      </c>
      <c r="K166" s="163">
        <f t="shared" si="83"/>
        <v>7.0441869657698426</v>
      </c>
      <c r="L166" s="163">
        <f t="shared" si="83"/>
        <v>7.7510406731384505</v>
      </c>
      <c r="M166" s="163">
        <f t="shared" si="83"/>
        <v>8.0021922577858291</v>
      </c>
      <c r="N166" s="163">
        <f t="shared" si="83"/>
        <v>9.5384652389941138</v>
      </c>
      <c r="O166" s="163">
        <f t="shared" si="83"/>
        <v>10.348800361374405</v>
      </c>
    </row>
    <row r="167" spans="3:15" x14ac:dyDescent="0.25">
      <c r="C167" s="5" t="s">
        <v>264</v>
      </c>
      <c r="D167" s="94" t="str">
        <f t="shared" si="73"/>
        <v>APMT</v>
      </c>
      <c r="E167" s="6" t="s">
        <v>288</v>
      </c>
      <c r="G167" s="163">
        <f t="shared" ref="G167:O167" si="84">IFERROR(+G97/G132,0)</f>
        <v>23.650818292409046</v>
      </c>
      <c r="H167" s="163">
        <f t="shared" si="84"/>
        <v>27.23704731200916</v>
      </c>
      <c r="I167" s="163">
        <f t="shared" si="84"/>
        <v>25.181476722957431</v>
      </c>
      <c r="J167" s="163">
        <f t="shared" si="84"/>
        <v>26.732376223446398</v>
      </c>
      <c r="K167" s="163">
        <f t="shared" si="84"/>
        <v>27.593548112888048</v>
      </c>
      <c r="L167" s="163">
        <f t="shared" si="84"/>
        <v>27.571668439391431</v>
      </c>
      <c r="M167" s="163">
        <f t="shared" si="84"/>
        <v>31.000913141059701</v>
      </c>
      <c r="N167" s="163">
        <f t="shared" si="84"/>
        <v>31.281583886589612</v>
      </c>
      <c r="O167" s="163">
        <f t="shared" si="84"/>
        <v>31.870966435263341</v>
      </c>
    </row>
    <row r="168" spans="3:15" x14ac:dyDescent="0.25">
      <c r="C168" s="5" t="s">
        <v>265</v>
      </c>
      <c r="D168" s="94" t="str">
        <f t="shared" si="73"/>
        <v>APMT</v>
      </c>
      <c r="E168" s="6" t="s">
        <v>288</v>
      </c>
      <c r="G168" s="163">
        <f t="shared" ref="G168:O168" si="85">IFERROR(+G98/G133,0)</f>
        <v>3.6085445894241026</v>
      </c>
      <c r="H168" s="163">
        <f t="shared" si="85"/>
        <v>3.3849037100059967</v>
      </c>
      <c r="I168" s="163">
        <f t="shared" si="85"/>
        <v>3.4657765870815465</v>
      </c>
      <c r="J168" s="163">
        <f t="shared" si="85"/>
        <v>3.5943682211507046</v>
      </c>
      <c r="K168" s="163">
        <f t="shared" si="85"/>
        <v>3.5236923454623468</v>
      </c>
      <c r="L168" s="163">
        <f t="shared" si="85"/>
        <v>3.8051892665887403</v>
      </c>
      <c r="M168" s="163">
        <f t="shared" si="85"/>
        <v>4.1929697962103596</v>
      </c>
      <c r="N168" s="163">
        <f t="shared" si="85"/>
        <v>4.6348571520740771</v>
      </c>
      <c r="O168" s="163">
        <f t="shared" si="85"/>
        <v>4.9411245071559993</v>
      </c>
    </row>
    <row r="169" spans="3:15" x14ac:dyDescent="0.25">
      <c r="C169" s="5" t="s">
        <v>266</v>
      </c>
      <c r="D169" s="94" t="str">
        <f t="shared" si="73"/>
        <v>APMT</v>
      </c>
      <c r="E169" s="6" t="s">
        <v>288</v>
      </c>
      <c r="G169" s="163">
        <f t="shared" ref="G169:O169" si="86">IFERROR(+G99/G134,0)</f>
        <v>1.1134384389099152</v>
      </c>
      <c r="H169" s="163">
        <f t="shared" si="86"/>
        <v>1.0832732691201226</v>
      </c>
      <c r="I169" s="163">
        <f t="shared" si="86"/>
        <v>1.0297001809045789</v>
      </c>
      <c r="J169" s="163">
        <f t="shared" si="86"/>
        <v>1.0063928095418877</v>
      </c>
      <c r="K169" s="163">
        <f t="shared" si="86"/>
        <v>1.0761756794288924</v>
      </c>
      <c r="L169" s="163">
        <f t="shared" si="86"/>
        <v>1.1264824064928418</v>
      </c>
      <c r="M169" s="163">
        <f t="shared" si="86"/>
        <v>1.2760285481171021</v>
      </c>
      <c r="N169" s="163">
        <f t="shared" si="86"/>
        <v>1.53948146278475</v>
      </c>
      <c r="O169" s="163">
        <f t="shared" si="86"/>
        <v>2.0763902885752183</v>
      </c>
    </row>
    <row r="170" spans="3:15" x14ac:dyDescent="0.25">
      <c r="C170" s="5" t="s">
        <v>267</v>
      </c>
      <c r="D170" s="94" t="str">
        <f t="shared" si="73"/>
        <v>APMT</v>
      </c>
      <c r="E170" s="6" t="s">
        <v>286</v>
      </c>
      <c r="G170" s="163">
        <f t="shared" ref="G170:O170" si="87">IFERROR(+G100/G135,0)</f>
        <v>7.2073671722897146</v>
      </c>
      <c r="H170" s="163">
        <f t="shared" si="87"/>
        <v>6.5153869653065541</v>
      </c>
      <c r="I170" s="163">
        <f t="shared" si="87"/>
        <v>8.4009267992467098</v>
      </c>
      <c r="J170" s="163">
        <f t="shared" si="87"/>
        <v>5.9673153469413514</v>
      </c>
      <c r="K170" s="163">
        <f t="shared" si="87"/>
        <v>8.9255583537462311</v>
      </c>
      <c r="L170" s="163">
        <f t="shared" si="87"/>
        <v>8.1645889014730884</v>
      </c>
      <c r="M170" s="163">
        <f t="shared" si="87"/>
        <v>9.8127272200933469</v>
      </c>
      <c r="N170" s="163">
        <f t="shared" si="87"/>
        <v>8.2768970088761087</v>
      </c>
      <c r="O170" s="163">
        <f t="shared" si="87"/>
        <v>12.822358980796244</v>
      </c>
    </row>
    <row r="171" spans="3:15" x14ac:dyDescent="0.25">
      <c r="C171" s="5"/>
      <c r="D171" s="94"/>
      <c r="G171" s="163"/>
      <c r="H171" s="163"/>
      <c r="I171" s="163"/>
      <c r="J171" s="163"/>
      <c r="K171" s="163"/>
      <c r="L171" s="163"/>
      <c r="M171" s="163"/>
      <c r="N171" s="163"/>
      <c r="O171" s="163"/>
    </row>
    <row r="172" spans="3:15" x14ac:dyDescent="0.25">
      <c r="C172" s="5" t="s">
        <v>18</v>
      </c>
      <c r="D172" s="94" t="str">
        <f t="shared" ref="D172:D185" si="88">+D137</f>
        <v>APMT</v>
      </c>
      <c r="E172" s="6" t="s">
        <v>287</v>
      </c>
      <c r="G172" s="163">
        <f t="shared" ref="G172:O172" si="89">IFERROR(+G102/G137,0)</f>
        <v>7.6950906935333254</v>
      </c>
      <c r="H172" s="163">
        <f t="shared" si="89"/>
        <v>7.8841006552825181</v>
      </c>
      <c r="I172" s="163">
        <f t="shared" si="89"/>
        <v>7.8796904950541444</v>
      </c>
      <c r="J172" s="163">
        <f t="shared" si="89"/>
        <v>15.993267135572973</v>
      </c>
      <c r="K172" s="163">
        <f t="shared" si="89"/>
        <v>28.103161638065661</v>
      </c>
      <c r="L172" s="163">
        <f t="shared" si="89"/>
        <v>14.17893773393207</v>
      </c>
      <c r="M172" s="163">
        <f t="shared" si="89"/>
        <v>16.914772386356148</v>
      </c>
      <c r="N172" s="163">
        <f t="shared" si="89"/>
        <v>15.91261073604597</v>
      </c>
      <c r="O172" s="163">
        <f t="shared" si="89"/>
        <v>19.821245251375274</v>
      </c>
    </row>
    <row r="173" spans="3:15" x14ac:dyDescent="0.25">
      <c r="C173" s="5" t="s">
        <v>19</v>
      </c>
      <c r="D173" s="94" t="str">
        <f t="shared" si="88"/>
        <v>APMT</v>
      </c>
      <c r="E173" s="6" t="s">
        <v>288</v>
      </c>
      <c r="G173" s="163">
        <f t="shared" ref="G173:O173" si="90">IFERROR(+G103/G138,0)</f>
        <v>7.2073671722897146</v>
      </c>
      <c r="H173" s="163">
        <f t="shared" si="90"/>
        <v>7.326276918688321</v>
      </c>
      <c r="I173" s="163">
        <f t="shared" si="90"/>
        <v>2.8485876614732684</v>
      </c>
      <c r="J173" s="163">
        <f t="shared" si="90"/>
        <v>10.856656170275041</v>
      </c>
      <c r="K173" s="163">
        <f t="shared" si="90"/>
        <v>19.733271909366199</v>
      </c>
      <c r="L173" s="163">
        <f t="shared" si="90"/>
        <v>26.923909216956584</v>
      </c>
      <c r="M173" s="163">
        <f t="shared" si="90"/>
        <v>27.451861097683629</v>
      </c>
      <c r="N173" s="163">
        <f t="shared" si="90"/>
        <v>32.661929301826149</v>
      </c>
      <c r="O173" s="163">
        <f t="shared" si="90"/>
        <v>14.290987541751173</v>
      </c>
    </row>
    <row r="174" spans="3:15" x14ac:dyDescent="0.25">
      <c r="C174" s="5" t="s">
        <v>20</v>
      </c>
      <c r="D174" s="94" t="str">
        <f t="shared" si="88"/>
        <v>APMT</v>
      </c>
      <c r="E174" s="6" t="s">
        <v>288</v>
      </c>
      <c r="G174" s="163">
        <f t="shared" ref="G174:O174" si="91">IFERROR(+G104/G139,0)</f>
        <v>25.201155742884549</v>
      </c>
      <c r="H174" s="163">
        <f t="shared" si="91"/>
        <v>25.616933511201868</v>
      </c>
      <c r="I174" s="163">
        <f t="shared" si="91"/>
        <v>25.031169787579177</v>
      </c>
      <c r="J174" s="163">
        <f t="shared" si="91"/>
        <v>27.680139218232117</v>
      </c>
      <c r="K174" s="163">
        <f t="shared" si="91"/>
        <v>52.112235885154419</v>
      </c>
      <c r="L174" s="163">
        <f t="shared" si="91"/>
        <v>47.44564447465774</v>
      </c>
      <c r="M174" s="163">
        <f t="shared" si="91"/>
        <v>49.121655446841473</v>
      </c>
      <c r="N174" s="163">
        <f t="shared" si="91"/>
        <v>48.252296325067363</v>
      </c>
      <c r="O174" s="163">
        <f t="shared" si="91"/>
        <v>26.192519091249221</v>
      </c>
    </row>
    <row r="175" spans="3:15" x14ac:dyDescent="0.25">
      <c r="C175" s="5" t="s">
        <v>21</v>
      </c>
      <c r="D175" s="94" t="str">
        <f t="shared" si="88"/>
        <v>APMT</v>
      </c>
      <c r="E175" s="6" t="s">
        <v>288</v>
      </c>
      <c r="G175" s="163">
        <f t="shared" ref="G175:O175" si="92">IFERROR(+G105/G140,0)</f>
        <v>1.1245166487970164</v>
      </c>
      <c r="H175" s="163">
        <f t="shared" si="92"/>
        <v>2.2861386611291565</v>
      </c>
      <c r="I175" s="163">
        <f t="shared" si="92"/>
        <v>2.2338631967658973</v>
      </c>
      <c r="J175" s="163">
        <f t="shared" si="92"/>
        <v>2.288155933569036</v>
      </c>
      <c r="K175" s="163">
        <f t="shared" si="92"/>
        <v>2.9371540224284742</v>
      </c>
      <c r="L175" s="163">
        <f t="shared" si="92"/>
        <v>0</v>
      </c>
      <c r="M175" s="163">
        <f t="shared" si="92"/>
        <v>0</v>
      </c>
      <c r="N175" s="163">
        <f t="shared" si="92"/>
        <v>2.5456824208152384</v>
      </c>
      <c r="O175" s="163">
        <f t="shared" si="92"/>
        <v>0.6116157592091509</v>
      </c>
    </row>
    <row r="176" spans="3:15" x14ac:dyDescent="0.25">
      <c r="C176" s="5" t="s">
        <v>22</v>
      </c>
      <c r="D176" s="94" t="str">
        <f t="shared" si="88"/>
        <v>APMT</v>
      </c>
      <c r="E176" s="6" t="s">
        <v>289</v>
      </c>
      <c r="G176" s="163">
        <f t="shared" ref="G176:O176" si="93">IFERROR(+G106/G141,0)</f>
        <v>0</v>
      </c>
      <c r="H176" s="163">
        <f t="shared" si="93"/>
        <v>0</v>
      </c>
      <c r="I176" s="163">
        <f t="shared" si="93"/>
        <v>1566.0464368261617</v>
      </c>
      <c r="J176" s="163">
        <f t="shared" si="93"/>
        <v>1619.6108966343463</v>
      </c>
      <c r="K176" s="163">
        <f t="shared" si="93"/>
        <v>1803.8477232349105</v>
      </c>
      <c r="L176" s="163">
        <f t="shared" si="93"/>
        <v>1850.1399867048099</v>
      </c>
      <c r="M176" s="163">
        <f t="shared" si="93"/>
        <v>1934.6560543486642</v>
      </c>
      <c r="N176" s="163">
        <f t="shared" si="93"/>
        <v>0</v>
      </c>
      <c r="O176" s="163">
        <f t="shared" si="93"/>
        <v>2282.8580421202273</v>
      </c>
    </row>
    <row r="177" spans="2:16" x14ac:dyDescent="0.25">
      <c r="C177" s="5" t="s">
        <v>23</v>
      </c>
      <c r="D177" s="94" t="str">
        <f t="shared" si="88"/>
        <v>APMT</v>
      </c>
      <c r="E177" s="6" t="s">
        <v>288</v>
      </c>
      <c r="G177" s="163">
        <f t="shared" ref="G177:O177" si="94">IFERROR(+G107/G142,0)</f>
        <v>0</v>
      </c>
      <c r="H177" s="163">
        <f t="shared" si="94"/>
        <v>0</v>
      </c>
      <c r="I177" s="163">
        <f t="shared" si="94"/>
        <v>4.9716369992084291</v>
      </c>
      <c r="J177" s="163">
        <f t="shared" si="94"/>
        <v>3.1964222020575641</v>
      </c>
      <c r="K177" s="163">
        <f t="shared" si="94"/>
        <v>3.0123726328813127</v>
      </c>
      <c r="L177" s="163">
        <f t="shared" si="94"/>
        <v>3.2648213894483402</v>
      </c>
      <c r="M177" s="163">
        <f t="shared" si="94"/>
        <v>3.1189475558372401</v>
      </c>
      <c r="N177" s="163">
        <f t="shared" si="94"/>
        <v>0</v>
      </c>
      <c r="O177" s="163">
        <f t="shared" si="94"/>
        <v>0</v>
      </c>
    </row>
    <row r="178" spans="2:16" x14ac:dyDescent="0.25">
      <c r="C178" s="5" t="s">
        <v>24</v>
      </c>
      <c r="D178" s="94" t="str">
        <f t="shared" si="88"/>
        <v>APMT</v>
      </c>
      <c r="E178" s="6" t="s">
        <v>288</v>
      </c>
      <c r="G178" s="163">
        <f t="shared" ref="G178:O178" si="95">IFERROR(+G108/G143,0)</f>
        <v>0</v>
      </c>
      <c r="H178" s="163">
        <f t="shared" si="95"/>
        <v>0</v>
      </c>
      <c r="I178" s="163">
        <f t="shared" si="95"/>
        <v>13.862722125961071</v>
      </c>
      <c r="J178" s="163">
        <f t="shared" si="95"/>
        <v>28.660918424491541</v>
      </c>
      <c r="K178" s="163">
        <f t="shared" si="95"/>
        <v>16.469293715887282</v>
      </c>
      <c r="L178" s="163">
        <f t="shared" si="95"/>
        <v>48.796740216733369</v>
      </c>
      <c r="M178" s="163">
        <f t="shared" si="95"/>
        <v>35.68880528952387</v>
      </c>
      <c r="N178" s="163">
        <f t="shared" si="95"/>
        <v>42.765727590273208</v>
      </c>
      <c r="O178" s="163">
        <f t="shared" si="95"/>
        <v>20.179463617572942</v>
      </c>
    </row>
    <row r="179" spans="2:16" x14ac:dyDescent="0.25">
      <c r="C179" s="5" t="s">
        <v>268</v>
      </c>
      <c r="D179" s="94" t="str">
        <f t="shared" si="88"/>
        <v>APMT</v>
      </c>
      <c r="E179" s="6" t="s">
        <v>233</v>
      </c>
      <c r="G179" s="163">
        <f t="shared" ref="G179:O179" si="96">IFERROR(+G109/G144,0)</f>
        <v>70.440839896461739</v>
      </c>
      <c r="H179" s="163">
        <f t="shared" si="96"/>
        <v>75.358386154471404</v>
      </c>
      <c r="I179" s="163">
        <f t="shared" si="96"/>
        <v>180.36700108262147</v>
      </c>
      <c r="J179" s="163">
        <f t="shared" si="96"/>
        <v>240.32054654303235</v>
      </c>
      <c r="K179" s="163">
        <f t="shared" si="96"/>
        <v>233.53551660599643</v>
      </c>
      <c r="L179" s="163">
        <f t="shared" si="96"/>
        <v>251.77669127077129</v>
      </c>
      <c r="M179" s="163">
        <f t="shared" si="96"/>
        <v>173.71845768348933</v>
      </c>
      <c r="N179" s="163">
        <f t="shared" si="96"/>
        <v>179.37349301233166</v>
      </c>
      <c r="O179" s="163">
        <f t="shared" si="96"/>
        <v>181.86990092491351</v>
      </c>
    </row>
    <row r="180" spans="2:16" x14ac:dyDescent="0.25">
      <c r="C180" s="5" t="s">
        <v>269</v>
      </c>
      <c r="D180" s="94" t="str">
        <f t="shared" si="88"/>
        <v>APMT</v>
      </c>
      <c r="E180" s="6" t="s">
        <v>233</v>
      </c>
      <c r="G180" s="163">
        <f t="shared" ref="G180:O180" si="97">IFERROR(+G110/G145,0)</f>
        <v>0</v>
      </c>
      <c r="H180" s="163">
        <f t="shared" si="97"/>
        <v>0</v>
      </c>
      <c r="I180" s="163">
        <f t="shared" si="97"/>
        <v>14.162026407180335</v>
      </c>
      <c r="J180" s="163">
        <f t="shared" si="97"/>
        <v>17.469182929072158</v>
      </c>
      <c r="K180" s="163">
        <f t="shared" si="97"/>
        <v>49.978515634071236</v>
      </c>
      <c r="L180" s="163">
        <f t="shared" si="97"/>
        <v>61.813650770765335</v>
      </c>
      <c r="M180" s="163">
        <f t="shared" si="97"/>
        <v>45.946630454530819</v>
      </c>
      <c r="N180" s="163">
        <f t="shared" si="97"/>
        <v>53.04991196882122</v>
      </c>
      <c r="O180" s="163">
        <f t="shared" si="97"/>
        <v>44.195432470753843</v>
      </c>
    </row>
    <row r="181" spans="2:16" x14ac:dyDescent="0.25">
      <c r="C181" s="5" t="s">
        <v>25</v>
      </c>
      <c r="D181" s="94" t="str">
        <f t="shared" si="88"/>
        <v>APMT</v>
      </c>
      <c r="E181" s="6" t="s">
        <v>290</v>
      </c>
      <c r="G181" s="163">
        <f t="shared" ref="G181:O181" si="98">IFERROR(+G111/G146,0)</f>
        <v>155.2016063717634</v>
      </c>
      <c r="H181" s="163">
        <f t="shared" si="98"/>
        <v>293.53972789980355</v>
      </c>
      <c r="I181" s="163">
        <f t="shared" si="98"/>
        <v>359.70054373960909</v>
      </c>
      <c r="J181" s="163">
        <f t="shared" si="98"/>
        <v>383.62494388118972</v>
      </c>
      <c r="K181" s="163">
        <f t="shared" si="98"/>
        <v>421.46113745479698</v>
      </c>
      <c r="L181" s="163">
        <f t="shared" si="98"/>
        <v>361.88396899593027</v>
      </c>
      <c r="M181" s="163">
        <f t="shared" si="98"/>
        <v>370.19562730812686</v>
      </c>
      <c r="N181" s="163">
        <f t="shared" si="98"/>
        <v>424.04106085571556</v>
      </c>
      <c r="O181" s="163">
        <f t="shared" si="98"/>
        <v>513.59447096154713</v>
      </c>
    </row>
    <row r="182" spans="2:16" x14ac:dyDescent="0.25">
      <c r="C182" s="5" t="s">
        <v>26</v>
      </c>
      <c r="D182" s="94" t="str">
        <f t="shared" si="88"/>
        <v>APMT</v>
      </c>
      <c r="E182" s="6" t="s">
        <v>290</v>
      </c>
      <c r="G182" s="163">
        <f t="shared" ref="G182:O182" si="99">IFERROR(+G112/G147,0)</f>
        <v>0</v>
      </c>
      <c r="H182" s="163">
        <f t="shared" si="99"/>
        <v>0</v>
      </c>
      <c r="I182" s="163">
        <f t="shared" si="99"/>
        <v>227.51476671189937</v>
      </c>
      <c r="J182" s="163">
        <f t="shared" si="99"/>
        <v>350.93458290334775</v>
      </c>
      <c r="K182" s="163">
        <f t="shared" si="99"/>
        <v>297.83876102319977</v>
      </c>
      <c r="L182" s="163">
        <f t="shared" si="99"/>
        <v>269.26485479614087</v>
      </c>
      <c r="M182" s="163">
        <f t="shared" si="99"/>
        <v>154.31871142012957</v>
      </c>
      <c r="N182" s="163">
        <f t="shared" si="99"/>
        <v>240.5112621559785</v>
      </c>
      <c r="O182" s="163">
        <f t="shared" si="99"/>
        <v>99.084670147818272</v>
      </c>
    </row>
    <row r="183" spans="2:16" x14ac:dyDescent="0.25">
      <c r="C183" s="5" t="s">
        <v>27</v>
      </c>
      <c r="D183" s="94" t="str">
        <f t="shared" si="88"/>
        <v>APMT</v>
      </c>
      <c r="E183" s="6" t="s">
        <v>288</v>
      </c>
      <c r="G183" s="163">
        <f t="shared" ref="G183:O183" si="100">IFERROR(+G113/G148,0)</f>
        <v>2.8288916151237129</v>
      </c>
      <c r="H183" s="163">
        <f t="shared" si="100"/>
        <v>2.875563690585166</v>
      </c>
      <c r="I183" s="163">
        <f t="shared" si="100"/>
        <v>2.8098102742297368</v>
      </c>
      <c r="J183" s="163">
        <f t="shared" si="100"/>
        <v>5.4995561798688346</v>
      </c>
      <c r="K183" s="163">
        <f t="shared" si="100"/>
        <v>6.2301057709823251</v>
      </c>
      <c r="L183" s="163">
        <f t="shared" si="100"/>
        <v>5.9351613275780881</v>
      </c>
      <c r="M183" s="163">
        <f t="shared" si="100"/>
        <v>6.5362037022210826</v>
      </c>
      <c r="N183" s="163">
        <f t="shared" si="100"/>
        <v>7.4097847490105027</v>
      </c>
      <c r="O183" s="163">
        <f t="shared" si="100"/>
        <v>7.7434048826243957</v>
      </c>
    </row>
    <row r="184" spans="2:16" ht="13" x14ac:dyDescent="0.3">
      <c r="C184" s="5" t="s">
        <v>28</v>
      </c>
      <c r="D184" s="94" t="str">
        <f t="shared" si="88"/>
        <v>APMT</v>
      </c>
      <c r="E184" s="6" t="s">
        <v>291</v>
      </c>
      <c r="G184" s="163">
        <f t="shared" ref="G184:O184" si="101">IFERROR(+G114/G149,0)</f>
        <v>0</v>
      </c>
      <c r="H184" s="163">
        <f t="shared" si="101"/>
        <v>0</v>
      </c>
      <c r="I184" s="163">
        <f t="shared" si="101"/>
        <v>0</v>
      </c>
      <c r="J184" s="163">
        <f t="shared" si="101"/>
        <v>390.60671903692702</v>
      </c>
      <c r="K184" s="163">
        <f t="shared" si="101"/>
        <v>393.64459686118886</v>
      </c>
      <c r="L184" s="163">
        <f t="shared" si="101"/>
        <v>432.00276162528195</v>
      </c>
      <c r="M184" s="163">
        <f t="shared" si="101"/>
        <v>649.28208744614699</v>
      </c>
      <c r="N184" s="163">
        <f t="shared" si="101"/>
        <v>768.16003827576719</v>
      </c>
      <c r="O184" s="163">
        <f t="shared" si="101"/>
        <v>983.81256145633449</v>
      </c>
      <c r="P184" s="7"/>
    </row>
    <row r="185" spans="2:16" ht="13" x14ac:dyDescent="0.3">
      <c r="C185" s="5" t="s">
        <v>270</v>
      </c>
      <c r="D185" s="94" t="str">
        <f t="shared" si="88"/>
        <v>APMT</v>
      </c>
      <c r="E185" s="6" t="s">
        <v>290</v>
      </c>
      <c r="G185" s="163">
        <f t="shared" ref="G185:O185" si="102">IFERROR(+G115/G150,0)</f>
        <v>0</v>
      </c>
      <c r="H185" s="163">
        <f t="shared" si="102"/>
        <v>0</v>
      </c>
      <c r="I185" s="163">
        <f t="shared" si="102"/>
        <v>0</v>
      </c>
      <c r="J185" s="163">
        <f t="shared" si="102"/>
        <v>2.9730595875913517</v>
      </c>
      <c r="K185" s="163">
        <f t="shared" si="102"/>
        <v>3.2414157286108631</v>
      </c>
      <c r="L185" s="163">
        <f t="shared" si="102"/>
        <v>2.6019726908215586</v>
      </c>
      <c r="M185" s="163">
        <f t="shared" si="102"/>
        <v>3.8977175460525295</v>
      </c>
      <c r="N185" s="163">
        <f t="shared" si="102"/>
        <v>6.2726736569813184</v>
      </c>
      <c r="O185" s="163">
        <f t="shared" si="102"/>
        <v>8.1145994223286166</v>
      </c>
      <c r="P185" s="7"/>
    </row>
    <row r="186" spans="2:16" ht="13" x14ac:dyDescent="0.3">
      <c r="C186" s="5" t="s">
        <v>29</v>
      </c>
      <c r="D186" s="94" t="s">
        <v>79</v>
      </c>
      <c r="E186" s="6" t="s">
        <v>292</v>
      </c>
      <c r="G186" s="173">
        <f>+INDEX('Macro anual'!$G$19:$G$29,MATCH(G$1,'Macro anual'!$B$19:$B$29,0))</f>
        <v>100</v>
      </c>
      <c r="H186" s="173">
        <f>+INDEX('Macro anual'!$G$19:$G$29,MATCH(H$1,'Macro anual'!$B$19:$B$29,0))</f>
        <v>106.26649567208304</v>
      </c>
      <c r="I186" s="173">
        <f>+INDEX('Macro anual'!$G$19:$G$29,MATCH(I$1,'Macro anual'!$B$19:$B$29,0))</f>
        <v>104.13183699251707</v>
      </c>
      <c r="J186" s="173">
        <f>+INDEX('Macro anual'!$G$19:$G$29,MATCH(J$1,'Macro anual'!$B$19:$B$29,0))</f>
        <v>100.94145986302405</v>
      </c>
      <c r="K186" s="173">
        <f>+INDEX('Macro anual'!$G$19:$G$29,MATCH(K$1,'Macro anual'!$B$19:$B$29,0))</f>
        <v>91.566139260772445</v>
      </c>
      <c r="L186" s="173">
        <f>+INDEX('Macro anual'!$G$19:$G$29,MATCH(L$1,'Macro anual'!$B$19:$B$29,0))</f>
        <v>87.763062370005912</v>
      </c>
      <c r="M186" s="173">
        <f>+INDEX('Macro anual'!$G$19:$G$29,MATCH(M$1,'Macro anual'!$B$19:$B$29,0))</f>
        <v>91.888147399868032</v>
      </c>
      <c r="N186" s="173">
        <f>+INDEX('Macro anual'!$G$19:$G$29,MATCH(N$1,'Macro anual'!$B$19:$B$29,0))</f>
        <v>92.64667637690944</v>
      </c>
      <c r="O186" s="173">
        <f>+INDEX('Macro anual'!$G$19:$G$29,MATCH(O$1,'Macro anual'!$B$19:$B$29,0))</f>
        <v>92.320085909241072</v>
      </c>
      <c r="P186" s="7"/>
    </row>
    <row r="187" spans="2:16" ht="13" x14ac:dyDescent="0.3">
      <c r="C187" s="71"/>
      <c r="D187" s="76"/>
      <c r="F187" s="71"/>
      <c r="P187" s="7"/>
    </row>
    <row r="189" spans="2:16" ht="13" x14ac:dyDescent="0.3">
      <c r="B189" s="3" t="s">
        <v>202</v>
      </c>
      <c r="C189" s="95"/>
      <c r="D189" s="2"/>
      <c r="E189" s="2"/>
      <c r="F189" s="1"/>
      <c r="G189" s="1"/>
      <c r="H189" s="1"/>
      <c r="I189" s="1"/>
      <c r="J189" s="96"/>
      <c r="K189" s="96"/>
      <c r="L189" s="96"/>
      <c r="M189" s="96"/>
      <c r="N189" s="96"/>
      <c r="O189" s="96"/>
    </row>
    <row r="191" spans="2:16" ht="13" x14ac:dyDescent="0.3">
      <c r="B191" s="7" t="s">
        <v>206</v>
      </c>
    </row>
    <row r="192" spans="2:16" x14ac:dyDescent="0.25">
      <c r="B192" s="174" t="s">
        <v>203</v>
      </c>
      <c r="D192" s="6" t="s">
        <v>41</v>
      </c>
      <c r="E192" s="6" t="s">
        <v>77</v>
      </c>
      <c r="H192" s="90">
        <f>+SUMPRODUCT(H122:H151,G157:G186)</f>
        <v>84165.31872573345</v>
      </c>
      <c r="I192" s="90">
        <f t="shared" ref="I192:O192" si="103">+SUMPRODUCT(I122:I151,H157:H186)</f>
        <v>91181.656126469476</v>
      </c>
      <c r="J192" s="90">
        <f t="shared" si="103"/>
        <v>85423.983284199698</v>
      </c>
      <c r="K192" s="90">
        <f t="shared" si="103"/>
        <v>96710.997600491231</v>
      </c>
      <c r="L192" s="90">
        <f t="shared" si="103"/>
        <v>124845.26405839226</v>
      </c>
      <c r="M192" s="90">
        <f t="shared" si="103"/>
        <v>136457.50142372714</v>
      </c>
      <c r="N192" s="90">
        <f t="shared" si="103"/>
        <v>161532.51278905725</v>
      </c>
      <c r="O192" s="90">
        <f t="shared" si="103"/>
        <v>164455.98127288581</v>
      </c>
    </row>
    <row r="193" spans="2:15" x14ac:dyDescent="0.25">
      <c r="B193" s="174" t="s">
        <v>204</v>
      </c>
      <c r="D193" s="6" t="s">
        <v>41</v>
      </c>
      <c r="E193" s="6" t="s">
        <v>77</v>
      </c>
      <c r="H193" s="90">
        <f t="shared" ref="H193:O193" si="104">+SUMPRODUCT(G122:G151,G157:G186)</f>
        <v>83186.001060000053</v>
      </c>
      <c r="I193" s="90">
        <f t="shared" si="104"/>
        <v>84655.38203000011</v>
      </c>
      <c r="J193" s="90">
        <f t="shared" si="104"/>
        <v>93687.466902412591</v>
      </c>
      <c r="K193" s="90">
        <f t="shared" si="104"/>
        <v>92252.82921299724</v>
      </c>
      <c r="L193" s="90">
        <f t="shared" si="104"/>
        <v>103936.8698800001</v>
      </c>
      <c r="M193" s="90">
        <f t="shared" si="104"/>
        <v>124064.67653000001</v>
      </c>
      <c r="N193" s="90">
        <f t="shared" si="104"/>
        <v>150025.81965000002</v>
      </c>
      <c r="O193" s="90">
        <f t="shared" si="104"/>
        <v>175906.57525165533</v>
      </c>
    </row>
    <row r="194" spans="2:15" ht="13" x14ac:dyDescent="0.3">
      <c r="B194" s="174"/>
      <c r="C194" s="119" t="s">
        <v>77</v>
      </c>
      <c r="D194" s="120" t="s">
        <v>41</v>
      </c>
      <c r="E194" s="120" t="s">
        <v>77</v>
      </c>
      <c r="G194" s="119"/>
      <c r="H194" s="177">
        <f>+H192/H193</f>
        <v>1.0117726258415407</v>
      </c>
      <c r="I194" s="177">
        <f t="shared" ref="I194:O194" si="105">+I192/I193</f>
        <v>1.0770922526125579</v>
      </c>
      <c r="J194" s="177">
        <f t="shared" si="105"/>
        <v>0.91179734182779903</v>
      </c>
      <c r="K194" s="177">
        <f t="shared" si="105"/>
        <v>1.0483255464957155</v>
      </c>
      <c r="L194" s="177">
        <f t="shared" si="105"/>
        <v>1.2011643625840558</v>
      </c>
      <c r="M194" s="177">
        <f t="shared" si="105"/>
        <v>1.099890035103831</v>
      </c>
      <c r="N194" s="177">
        <f t="shared" si="105"/>
        <v>1.0766980854755639</v>
      </c>
      <c r="O194" s="177">
        <f t="shared" si="105"/>
        <v>0.93490525318688011</v>
      </c>
    </row>
    <row r="195" spans="2:15" x14ac:dyDescent="0.25">
      <c r="B195" s="26"/>
    </row>
    <row r="196" spans="2:15" ht="13" x14ac:dyDescent="0.3">
      <c r="B196" s="7" t="s">
        <v>205</v>
      </c>
    </row>
    <row r="197" spans="2:15" x14ac:dyDescent="0.25">
      <c r="B197" s="174" t="s">
        <v>203</v>
      </c>
      <c r="D197" s="6" t="s">
        <v>41</v>
      </c>
      <c r="E197" s="6" t="s">
        <v>77</v>
      </c>
      <c r="H197" s="90">
        <f t="shared" ref="H197:O197" si="106">+SUMPRODUCT(H157:H186,H122:H151)</f>
        <v>84655.38203000011</v>
      </c>
      <c r="I197" s="90">
        <f t="shared" si="106"/>
        <v>93687.466902412591</v>
      </c>
      <c r="J197" s="90">
        <f t="shared" si="106"/>
        <v>92252.82921299724</v>
      </c>
      <c r="K197" s="90">
        <f t="shared" si="106"/>
        <v>103936.8698800001</v>
      </c>
      <c r="L197" s="90">
        <f t="shared" si="106"/>
        <v>124064.67653000001</v>
      </c>
      <c r="M197" s="90">
        <f t="shared" si="106"/>
        <v>150025.81965000002</v>
      </c>
      <c r="N197" s="90">
        <f t="shared" si="106"/>
        <v>175906.57525165533</v>
      </c>
      <c r="O197" s="90">
        <f t="shared" si="106"/>
        <v>174176.48750799982</v>
      </c>
    </row>
    <row r="198" spans="2:15" x14ac:dyDescent="0.25">
      <c r="B198" s="174" t="s">
        <v>204</v>
      </c>
      <c r="D198" s="6" t="s">
        <v>41</v>
      </c>
      <c r="E198" s="6" t="s">
        <v>77</v>
      </c>
      <c r="H198" s="90">
        <f t="shared" ref="H198:O198" si="107">+SUMPRODUCT(H157:H186,G122:G151)</f>
        <v>83791.611459179607</v>
      </c>
      <c r="I198" s="90">
        <f t="shared" si="107"/>
        <v>84152.299926042077</v>
      </c>
      <c r="J198" s="90">
        <f t="shared" si="107"/>
        <v>100504.81384508725</v>
      </c>
      <c r="K198" s="90">
        <f t="shared" si="107"/>
        <v>98755.556363990268</v>
      </c>
      <c r="L198" s="90">
        <f t="shared" si="107"/>
        <v>109241.12251065786</v>
      </c>
      <c r="M198" s="90">
        <f t="shared" si="107"/>
        <v>136630.29771971283</v>
      </c>
      <c r="N198" s="90">
        <f t="shared" si="107"/>
        <v>163774.30513302225</v>
      </c>
      <c r="O198" s="90">
        <f t="shared" si="107"/>
        <v>189355.64717207791</v>
      </c>
    </row>
    <row r="199" spans="2:15" ht="13" x14ac:dyDescent="0.3">
      <c r="B199" s="174"/>
      <c r="C199" s="119" t="s">
        <v>77</v>
      </c>
      <c r="D199" s="120" t="s">
        <v>41</v>
      </c>
      <c r="E199" s="120" t="s">
        <v>77</v>
      </c>
      <c r="G199" s="119"/>
      <c r="H199" s="177">
        <f t="shared" ref="H199:O199" si="108">+H197/H198</f>
        <v>1.0103085566177623</v>
      </c>
      <c r="I199" s="177">
        <f t="shared" si="108"/>
        <v>1.113308453657839</v>
      </c>
      <c r="J199" s="177">
        <f t="shared" si="108"/>
        <v>0.91789463293958062</v>
      </c>
      <c r="K199" s="177">
        <f t="shared" si="108"/>
        <v>1.0524660455246964</v>
      </c>
      <c r="L199" s="177">
        <f t="shared" si="108"/>
        <v>1.1356957314119134</v>
      </c>
      <c r="M199" s="177">
        <f t="shared" si="108"/>
        <v>1.0980421045247748</v>
      </c>
      <c r="N199" s="177">
        <f t="shared" si="108"/>
        <v>1.0740792037479805</v>
      </c>
      <c r="O199" s="177">
        <f t="shared" si="108"/>
        <v>0.91983782955105664</v>
      </c>
    </row>
    <row r="201" spans="2:15" ht="13" x14ac:dyDescent="0.3">
      <c r="B201" s="32" t="s">
        <v>184</v>
      </c>
      <c r="C201" s="25"/>
      <c r="D201" s="25"/>
      <c r="E201" s="25"/>
      <c r="G201" s="25"/>
      <c r="H201" s="25"/>
      <c r="I201" s="25"/>
    </row>
    <row r="202" spans="2:15" x14ac:dyDescent="0.25">
      <c r="B202" s="175" t="s">
        <v>185</v>
      </c>
      <c r="C202" s="176"/>
      <c r="D202" s="12" t="s">
        <v>41</v>
      </c>
      <c r="E202" s="12" t="s">
        <v>77</v>
      </c>
      <c r="G202" s="176"/>
      <c r="H202" s="91">
        <f>+H194</f>
        <v>1.0117726258415407</v>
      </c>
      <c r="I202" s="91">
        <f t="shared" ref="I202:O202" si="109">+I194</f>
        <v>1.0770922526125579</v>
      </c>
      <c r="J202" s="91">
        <f t="shared" si="109"/>
        <v>0.91179734182779903</v>
      </c>
      <c r="K202" s="91">
        <f t="shared" si="109"/>
        <v>1.0483255464957155</v>
      </c>
      <c r="L202" s="91">
        <f t="shared" si="109"/>
        <v>1.2011643625840558</v>
      </c>
      <c r="M202" s="91">
        <f t="shared" si="109"/>
        <v>1.099890035103831</v>
      </c>
      <c r="N202" s="91">
        <f t="shared" si="109"/>
        <v>1.0766980854755639</v>
      </c>
      <c r="O202" s="91">
        <f t="shared" si="109"/>
        <v>0.93490525318688011</v>
      </c>
    </row>
    <row r="203" spans="2:15" x14ac:dyDescent="0.25">
      <c r="B203" s="175" t="s">
        <v>186</v>
      </c>
      <c r="C203" s="176"/>
      <c r="D203" s="12" t="s">
        <v>41</v>
      </c>
      <c r="E203" s="12" t="s">
        <v>77</v>
      </c>
      <c r="G203" s="176"/>
      <c r="H203" s="91">
        <f>+H199</f>
        <v>1.0103085566177623</v>
      </c>
      <c r="I203" s="91">
        <f t="shared" ref="I203:O203" si="110">+I199</f>
        <v>1.113308453657839</v>
      </c>
      <c r="J203" s="91">
        <f t="shared" si="110"/>
        <v>0.91789463293958062</v>
      </c>
      <c r="K203" s="91">
        <f t="shared" si="110"/>
        <v>1.0524660455246964</v>
      </c>
      <c r="L203" s="91">
        <f t="shared" si="110"/>
        <v>1.1356957314119134</v>
      </c>
      <c r="M203" s="91">
        <f t="shared" si="110"/>
        <v>1.0980421045247748</v>
      </c>
      <c r="N203" s="91">
        <f t="shared" si="110"/>
        <v>1.0740792037479805</v>
      </c>
      <c r="O203" s="91">
        <f t="shared" si="110"/>
        <v>0.91983782955105664</v>
      </c>
    </row>
    <row r="204" spans="2:15" x14ac:dyDescent="0.25">
      <c r="B204" s="175" t="s">
        <v>187</v>
      </c>
      <c r="C204" s="176"/>
      <c r="D204" s="12" t="s">
        <v>41</v>
      </c>
      <c r="E204" s="12" t="s">
        <v>77</v>
      </c>
      <c r="G204" s="176"/>
      <c r="H204" s="91">
        <f t="shared" ref="H204:O204" si="111">SQRT(H202*H203)</f>
        <v>1.0110403262181633</v>
      </c>
      <c r="I204" s="91">
        <f t="shared" si="111"/>
        <v>1.0950506427571856</v>
      </c>
      <c r="J204" s="91">
        <f t="shared" si="111"/>
        <v>0.91484090769505544</v>
      </c>
      <c r="K204" s="91">
        <f t="shared" si="111"/>
        <v>1.0503937558567558</v>
      </c>
      <c r="L204" s="91">
        <f t="shared" si="111"/>
        <v>1.1679714205882026</v>
      </c>
      <c r="M204" s="91">
        <f t="shared" si="111"/>
        <v>1.0989656813983042</v>
      </c>
      <c r="N204" s="91">
        <f t="shared" si="111"/>
        <v>1.0753878473948684</v>
      </c>
      <c r="O204" s="91">
        <f t="shared" si="111"/>
        <v>0.92734093996075728</v>
      </c>
    </row>
    <row r="205" spans="2:15" ht="13" x14ac:dyDescent="0.3">
      <c r="B205" s="178" t="s">
        <v>188</v>
      </c>
      <c r="C205" s="179"/>
      <c r="D205" s="180" t="s">
        <v>41</v>
      </c>
      <c r="E205" s="180" t="s">
        <v>39</v>
      </c>
      <c r="G205" s="179"/>
      <c r="H205" s="181">
        <f>LN(H204)</f>
        <v>1.0979826698996645E-2</v>
      </c>
      <c r="I205" s="181">
        <f>LN(I204)</f>
        <v>9.0800611292327943E-2</v>
      </c>
      <c r="J205" s="181">
        <f t="shared" ref="J205:O205" si="112">LN(J204)</f>
        <v>-8.9005100195519105E-2</v>
      </c>
      <c r="K205" s="181">
        <f t="shared" si="112"/>
        <v>4.9165099450276889E-2</v>
      </c>
      <c r="L205" s="181">
        <f t="shared" si="112"/>
        <v>0.15526841543218833</v>
      </c>
      <c r="M205" s="181">
        <f t="shared" si="112"/>
        <v>9.4369447816805091E-2</v>
      </c>
      <c r="N205" s="181">
        <f t="shared" si="112"/>
        <v>7.2681384785482986E-2</v>
      </c>
      <c r="O205" s="181">
        <f t="shared" si="112"/>
        <v>-7.5433992510970618E-2</v>
      </c>
    </row>
    <row r="206" spans="2:15" x14ac:dyDescent="0.25">
      <c r="G206" s="176"/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2535-3DDC-4F06-AFCD-1F5A4A448021}">
  <dimension ref="B1:Y186"/>
  <sheetViews>
    <sheetView showGridLines="0" zoomScale="85" zoomScaleNormal="85" workbookViewId="0">
      <pane xSplit="5" ySplit="2" topLeftCell="F111" activePane="bottomRight" state="frozen"/>
      <selection pane="topRight" activeCell="F1" sqref="F1"/>
      <selection pane="bottomLeft" activeCell="A3" sqref="A3"/>
      <selection pane="bottomRight" activeCell="H88" sqref="H88"/>
    </sheetView>
  </sheetViews>
  <sheetFormatPr defaultColWidth="11.33203125" defaultRowHeight="12.5" outlineLevelRow="1" x14ac:dyDescent="0.25"/>
  <cols>
    <col min="1" max="1" width="4.08203125" style="4" customWidth="1"/>
    <col min="2" max="2" width="2.75" style="4" customWidth="1"/>
    <col min="3" max="3" width="35" style="4" bestFit="1" customWidth="1"/>
    <col min="4" max="4" width="7.58203125" style="6" customWidth="1"/>
    <col min="5" max="5" width="13.25" style="6" bestFit="1" customWidth="1"/>
    <col min="6" max="6" width="3.5" style="4" customWidth="1"/>
    <col min="7" max="15" width="8.08203125" style="4" customWidth="1"/>
    <col min="16" max="16384" width="11.33203125" style="4"/>
  </cols>
  <sheetData>
    <row r="1" spans="2:15" ht="13" x14ac:dyDescent="0.3">
      <c r="D1" s="169" t="s">
        <v>2</v>
      </c>
      <c r="E1" s="169" t="s">
        <v>1</v>
      </c>
      <c r="G1" s="77">
        <v>2011</v>
      </c>
      <c r="H1" s="77">
        <v>2012</v>
      </c>
      <c r="I1" s="77">
        <v>2013</v>
      </c>
      <c r="J1" s="77">
        <v>2014</v>
      </c>
      <c r="K1" s="77">
        <v>2015</v>
      </c>
      <c r="L1" s="78">
        <v>2016</v>
      </c>
      <c r="M1" s="78">
        <v>2017</v>
      </c>
      <c r="N1" s="78">
        <v>2018</v>
      </c>
      <c r="O1" s="78">
        <v>2019</v>
      </c>
    </row>
    <row r="2" spans="2:15" x14ac:dyDescent="0.25">
      <c r="B2" s="16"/>
      <c r="C2" s="16"/>
      <c r="D2" s="73"/>
      <c r="E2" s="73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2:15" ht="13" x14ac:dyDescent="0.3">
      <c r="B4" s="3" t="s">
        <v>42</v>
      </c>
      <c r="C4" s="1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9" customHeight="1" x14ac:dyDescent="0.25"/>
    <row r="6" spans="2:15" ht="13" outlineLevel="1" x14ac:dyDescent="0.3">
      <c r="B6" s="7" t="s">
        <v>59</v>
      </c>
      <c r="G6" s="8"/>
      <c r="H6" s="8"/>
      <c r="I6" s="8"/>
      <c r="J6" s="8"/>
      <c r="K6" s="8"/>
      <c r="L6" s="8"/>
      <c r="M6" s="8"/>
      <c r="N6" s="8"/>
      <c r="O6" s="8"/>
    </row>
    <row r="7" spans="2:15" outlineLevel="1" x14ac:dyDescent="0.25">
      <c r="C7" s="4" t="s">
        <v>35</v>
      </c>
      <c r="D7" s="6" t="s">
        <v>16</v>
      </c>
      <c r="E7" s="6" t="s">
        <v>56</v>
      </c>
      <c r="G7" s="163">
        <f>+Opex!H7</f>
        <v>4677.9809599999999</v>
      </c>
      <c r="H7" s="163">
        <f>+Opex!I7</f>
        <v>7590.8764799999999</v>
      </c>
      <c r="I7" s="163">
        <f>+Opex!J7</f>
        <v>8218.1892800000005</v>
      </c>
      <c r="J7" s="163">
        <f>+Opex!K7</f>
        <v>10235.409600000001</v>
      </c>
      <c r="K7" s="163">
        <f>+Opex!L7</f>
        <v>10383.568350000001</v>
      </c>
      <c r="L7" s="163">
        <f>+Opex!M7</f>
        <v>10476.078940000001</v>
      </c>
      <c r="M7" s="163">
        <f>+Opex!N7</f>
        <v>11732.147649999999</v>
      </c>
      <c r="N7" s="163">
        <f>+Opex!O7</f>
        <v>12527.001319999999</v>
      </c>
      <c r="O7" s="163">
        <f>+Opex!P7</f>
        <v>12178.769469999999</v>
      </c>
    </row>
    <row r="8" spans="2:15" outlineLevel="1" x14ac:dyDescent="0.25">
      <c r="C8" s="4" t="s">
        <v>37</v>
      </c>
      <c r="D8" s="6" t="s">
        <v>16</v>
      </c>
      <c r="E8" s="6" t="s">
        <v>56</v>
      </c>
      <c r="G8" s="163">
        <f>+Opex!H8</f>
        <v>11156.8068</v>
      </c>
      <c r="H8" s="163">
        <f>+Opex!I8</f>
        <v>13631.092069999999</v>
      </c>
      <c r="I8" s="163">
        <f>+Opex!J8</f>
        <v>14363.205510000002</v>
      </c>
      <c r="J8" s="163">
        <f>+Opex!K8</f>
        <v>15554.721199999998</v>
      </c>
      <c r="K8" s="163">
        <f>+Opex!L8</f>
        <v>15771.073079999998</v>
      </c>
      <c r="L8" s="163">
        <f>+Opex!M8</f>
        <v>16692.779409999999</v>
      </c>
      <c r="M8" s="163">
        <f>+Opex!N8</f>
        <v>17489.238659999995</v>
      </c>
      <c r="N8" s="163">
        <f>+Opex!O8</f>
        <v>18473.500270000004</v>
      </c>
      <c r="O8" s="163">
        <f>+Opex!P8</f>
        <v>19779.023510000003</v>
      </c>
    </row>
    <row r="9" spans="2:15" outlineLevel="1" x14ac:dyDescent="0.25">
      <c r="C9" s="18" t="s">
        <v>38</v>
      </c>
      <c r="D9" s="9" t="s">
        <v>16</v>
      </c>
      <c r="E9" s="9" t="s">
        <v>56</v>
      </c>
      <c r="G9" s="182">
        <f>+Opex!H9</f>
        <v>16518.16994</v>
      </c>
      <c r="H9" s="182">
        <f>+Opex!I9</f>
        <v>14187.78753</v>
      </c>
      <c r="I9" s="182">
        <f>+Opex!J9</f>
        <v>13008.393579999998</v>
      </c>
      <c r="J9" s="182">
        <f>+Opex!K9</f>
        <v>11005.250800000002</v>
      </c>
      <c r="K9" s="182">
        <f>+Opex!L9</f>
        <v>10499.43957</v>
      </c>
      <c r="L9" s="182">
        <f>+Opex!M9</f>
        <v>9570.0773699999991</v>
      </c>
      <c r="M9" s="182">
        <f>+Opex!N9</f>
        <v>10171.03897</v>
      </c>
      <c r="N9" s="182">
        <f>+Opex!O9</f>
        <v>11063.17978</v>
      </c>
      <c r="O9" s="182">
        <f>+Opex!P9</f>
        <v>11014.595909999998</v>
      </c>
    </row>
    <row r="10" spans="2:15" ht="13" outlineLevel="1" x14ac:dyDescent="0.3">
      <c r="C10" s="7" t="s">
        <v>0</v>
      </c>
      <c r="D10" s="169" t="str">
        <f>+D9</f>
        <v>APMT</v>
      </c>
      <c r="E10" s="169" t="str">
        <f>+E9</f>
        <v>miles US$</v>
      </c>
      <c r="G10" s="70">
        <f>+SUM(G7:G9)</f>
        <v>32352.957699999999</v>
      </c>
      <c r="H10" s="70">
        <f t="shared" ref="H10:O10" si="0">+SUM(H7:H9)</f>
        <v>35409.756079999999</v>
      </c>
      <c r="I10" s="70">
        <f t="shared" si="0"/>
        <v>35589.788370000002</v>
      </c>
      <c r="J10" s="70">
        <f t="shared" si="0"/>
        <v>36795.381600000001</v>
      </c>
      <c r="K10" s="70">
        <f t="shared" si="0"/>
        <v>36654.080999999998</v>
      </c>
      <c r="L10" s="70">
        <f t="shared" si="0"/>
        <v>36738.935720000001</v>
      </c>
      <c r="M10" s="70">
        <f t="shared" si="0"/>
        <v>39392.425279999996</v>
      </c>
      <c r="N10" s="70">
        <f t="shared" si="0"/>
        <v>42063.681370000006</v>
      </c>
      <c r="O10" s="70">
        <f t="shared" si="0"/>
        <v>42972.388890000002</v>
      </c>
    </row>
    <row r="11" spans="2:15" outlineLevel="1" x14ac:dyDescent="0.25">
      <c r="G11" s="8"/>
      <c r="H11" s="8"/>
      <c r="I11" s="8"/>
      <c r="J11" s="8"/>
      <c r="K11" s="8"/>
      <c r="L11" s="8"/>
      <c r="M11" s="8"/>
      <c r="N11" s="8"/>
      <c r="O11" s="8"/>
    </row>
    <row r="12" spans="2:15" ht="13" outlineLevel="1" x14ac:dyDescent="0.3">
      <c r="B12" s="7" t="s">
        <v>114</v>
      </c>
      <c r="G12" s="8"/>
      <c r="H12" s="8"/>
      <c r="I12" s="8"/>
      <c r="J12" s="8"/>
      <c r="K12" s="8"/>
      <c r="L12" s="8"/>
      <c r="M12" s="8"/>
      <c r="N12" s="8"/>
      <c r="O12" s="8"/>
    </row>
    <row r="13" spans="2:15" outlineLevel="1" x14ac:dyDescent="0.25">
      <c r="C13" s="4" t="s">
        <v>35</v>
      </c>
      <c r="D13" s="6" t="s">
        <v>16</v>
      </c>
      <c r="E13" s="6" t="s">
        <v>36</v>
      </c>
      <c r="G13" s="163">
        <f>+Opex!H16</f>
        <v>171.072</v>
      </c>
      <c r="H13" s="163">
        <f>+Opex!I16</f>
        <v>286.17599999999999</v>
      </c>
      <c r="I13" s="163">
        <f>+Opex!J16</f>
        <v>382.416</v>
      </c>
      <c r="J13" s="163">
        <f>+Opex!K16</f>
        <v>269.37599999999998</v>
      </c>
      <c r="K13" s="163">
        <f>+Opex!L16</f>
        <v>315.83999999999997</v>
      </c>
      <c r="L13" s="163">
        <f>+Opex!M16</f>
        <v>370.14</v>
      </c>
      <c r="M13" s="163">
        <f>+Opex!N16</f>
        <v>394.81200000000001</v>
      </c>
      <c r="N13" s="163">
        <f>+Opex!O16</f>
        <v>417.15600000000001</v>
      </c>
      <c r="O13" s="163">
        <f>+Opex!P16</f>
        <v>405.06</v>
      </c>
    </row>
    <row r="14" spans="2:15" outlineLevel="1" x14ac:dyDescent="0.25">
      <c r="C14" s="4" t="s">
        <v>37</v>
      </c>
      <c r="D14" s="6" t="s">
        <v>16</v>
      </c>
      <c r="E14" s="6" t="s">
        <v>36</v>
      </c>
      <c r="G14" s="163">
        <f>+Opex!H17</f>
        <v>873.72</v>
      </c>
      <c r="H14" s="163">
        <f>+Opex!I17</f>
        <v>1033.3800000000001</v>
      </c>
      <c r="I14" s="163">
        <f>+Opex!J17</f>
        <v>1058.58</v>
      </c>
      <c r="J14" s="163">
        <f>+Opex!K17</f>
        <v>1260.72</v>
      </c>
      <c r="K14" s="163">
        <f>+Opex!L17</f>
        <v>1336.5</v>
      </c>
      <c r="L14" s="163">
        <f>+Opex!M17</f>
        <v>1544.04</v>
      </c>
      <c r="M14" s="163">
        <f>+Opex!N17</f>
        <v>1576.8</v>
      </c>
      <c r="N14" s="163">
        <f>+Opex!O17</f>
        <v>1600.74</v>
      </c>
      <c r="O14" s="163">
        <f>+Opex!P17</f>
        <v>1619.1</v>
      </c>
    </row>
    <row r="15" spans="2:15" outlineLevel="1" x14ac:dyDescent="0.25">
      <c r="C15" s="18" t="s">
        <v>38</v>
      </c>
      <c r="D15" s="9" t="s">
        <v>16</v>
      </c>
      <c r="E15" s="9" t="s">
        <v>36</v>
      </c>
      <c r="G15" s="182">
        <f>+Opex!H18</f>
        <v>1285.1763827079542</v>
      </c>
      <c r="H15" s="182">
        <f>+Opex!I18</f>
        <v>1149.3599999999999</v>
      </c>
      <c r="I15" s="182">
        <f>+Opex!J18</f>
        <v>1297.2159999999999</v>
      </c>
      <c r="J15" s="182">
        <f>+Opex!K18</f>
        <v>1227.856</v>
      </c>
      <c r="K15" s="182">
        <f>+Opex!L18</f>
        <v>1144.472</v>
      </c>
      <c r="L15" s="182">
        <f>+Opex!M18</f>
        <v>1021.032</v>
      </c>
      <c r="M15" s="182">
        <f>+Opex!N18</f>
        <v>973.56799999999998</v>
      </c>
      <c r="N15" s="182">
        <f>+Opex!O18</f>
        <v>980.92</v>
      </c>
      <c r="O15" s="182">
        <f>+Opex!P18</f>
        <v>940.68799999999999</v>
      </c>
    </row>
    <row r="16" spans="2:15" ht="13" outlineLevel="1" x14ac:dyDescent="0.3">
      <c r="C16" s="7" t="s">
        <v>0</v>
      </c>
      <c r="D16" s="169" t="s">
        <v>16</v>
      </c>
      <c r="E16" s="169" t="s">
        <v>36</v>
      </c>
      <c r="G16" s="70">
        <f>+SUM(G13:G15)</f>
        <v>2329.9683827079543</v>
      </c>
      <c r="H16" s="70">
        <f t="shared" ref="H16:O16" si="1">+SUM(H13:H15)</f>
        <v>2468.9160000000002</v>
      </c>
      <c r="I16" s="70">
        <f t="shared" si="1"/>
        <v>2738.2119999999995</v>
      </c>
      <c r="J16" s="70">
        <f t="shared" si="1"/>
        <v>2757.9520000000002</v>
      </c>
      <c r="K16" s="70">
        <f t="shared" si="1"/>
        <v>2796.8119999999999</v>
      </c>
      <c r="L16" s="70">
        <f t="shared" si="1"/>
        <v>2935.212</v>
      </c>
      <c r="M16" s="70">
        <f t="shared" si="1"/>
        <v>2945.1800000000003</v>
      </c>
      <c r="N16" s="70">
        <f t="shared" si="1"/>
        <v>2998.8159999999998</v>
      </c>
      <c r="O16" s="70">
        <f t="shared" si="1"/>
        <v>2964.848</v>
      </c>
    </row>
    <row r="17" spans="2:15" outlineLevel="1" x14ac:dyDescent="0.25">
      <c r="G17" s="8"/>
      <c r="H17" s="8"/>
      <c r="I17" s="8"/>
      <c r="J17" s="8"/>
      <c r="K17" s="8"/>
      <c r="L17" s="8"/>
      <c r="M17" s="8"/>
      <c r="N17" s="8"/>
      <c r="O17" s="8"/>
    </row>
    <row r="18" spans="2:15" ht="13" outlineLevel="1" x14ac:dyDescent="0.3">
      <c r="B18" s="7" t="s">
        <v>115</v>
      </c>
      <c r="G18" s="8"/>
      <c r="H18" s="8"/>
      <c r="I18" s="8"/>
      <c r="J18" s="8"/>
      <c r="K18" s="8"/>
      <c r="L18" s="8"/>
      <c r="M18" s="8"/>
      <c r="N18" s="8"/>
      <c r="O18" s="8"/>
    </row>
    <row r="19" spans="2:15" outlineLevel="1" x14ac:dyDescent="0.25">
      <c r="C19" s="4" t="str">
        <f t="shared" ref="C19:D21" si="2">+C13</f>
        <v>Funcionarios</v>
      </c>
      <c r="D19" s="6" t="str">
        <f t="shared" si="2"/>
        <v>APMT</v>
      </c>
      <c r="E19" s="6" t="s">
        <v>116</v>
      </c>
      <c r="G19" s="163">
        <f>+G7/G13</f>
        <v>27.345100074822295</v>
      </c>
      <c r="H19" s="163">
        <f t="shared" ref="H19:O19" si="3">+H7/H13</f>
        <v>26.52520295202952</v>
      </c>
      <c r="I19" s="163">
        <f t="shared" si="3"/>
        <v>21.490181582360574</v>
      </c>
      <c r="J19" s="163">
        <f t="shared" si="3"/>
        <v>37.99673913043479</v>
      </c>
      <c r="K19" s="163">
        <f t="shared" si="3"/>
        <v>32.876039608662623</v>
      </c>
      <c r="L19" s="163">
        <f t="shared" si="3"/>
        <v>28.303017614956506</v>
      </c>
      <c r="M19" s="163">
        <f t="shared" si="3"/>
        <v>29.715782828282826</v>
      </c>
      <c r="N19" s="163">
        <f t="shared" si="3"/>
        <v>30.029536480357468</v>
      </c>
      <c r="O19" s="163">
        <f t="shared" si="3"/>
        <v>30.066581420036535</v>
      </c>
    </row>
    <row r="20" spans="2:15" outlineLevel="1" x14ac:dyDescent="0.25">
      <c r="C20" s="4" t="str">
        <f t="shared" si="2"/>
        <v>Empleados</v>
      </c>
      <c r="D20" s="6" t="str">
        <f t="shared" si="2"/>
        <v>APMT</v>
      </c>
      <c r="E20" s="6" t="s">
        <v>116</v>
      </c>
      <c r="G20" s="163">
        <f t="shared" ref="G20:O20" si="4">+G8/G14</f>
        <v>12.76931602801813</v>
      </c>
      <c r="H20" s="163">
        <f t="shared" si="4"/>
        <v>13.190783709767944</v>
      </c>
      <c r="I20" s="163">
        <f t="shared" si="4"/>
        <v>13.568370373519246</v>
      </c>
      <c r="J20" s="163">
        <f t="shared" si="4"/>
        <v>12.3379665587918</v>
      </c>
      <c r="K20" s="163">
        <f t="shared" si="4"/>
        <v>11.800279147025812</v>
      </c>
      <c r="L20" s="163">
        <f t="shared" si="4"/>
        <v>10.811105547783736</v>
      </c>
      <c r="M20" s="163">
        <f t="shared" si="4"/>
        <v>11.091602397260271</v>
      </c>
      <c r="N20" s="163">
        <f t="shared" si="4"/>
        <v>11.540600141184704</v>
      </c>
      <c r="O20" s="163">
        <f t="shared" si="4"/>
        <v>12.216060471867088</v>
      </c>
    </row>
    <row r="21" spans="2:15" outlineLevel="1" x14ac:dyDescent="0.25">
      <c r="C21" s="18" t="str">
        <f t="shared" si="2"/>
        <v>Estibadores</v>
      </c>
      <c r="D21" s="9" t="str">
        <f t="shared" si="2"/>
        <v>APMT</v>
      </c>
      <c r="E21" s="9" t="s">
        <v>116</v>
      </c>
      <c r="G21" s="182">
        <f t="shared" ref="G21:O21" si="5">+G9/G15</f>
        <v>12.852842739916438</v>
      </c>
      <c r="H21" s="182">
        <f t="shared" si="5"/>
        <v>12.344076294633537</v>
      </c>
      <c r="I21" s="182">
        <f t="shared" si="5"/>
        <v>10.027931801642902</v>
      </c>
      <c r="J21" s="182">
        <f t="shared" si="5"/>
        <v>8.9629816525716386</v>
      </c>
      <c r="K21" s="182">
        <f t="shared" si="5"/>
        <v>9.1740466957688795</v>
      </c>
      <c r="L21" s="182">
        <f t="shared" si="5"/>
        <v>9.3729455785910716</v>
      </c>
      <c r="M21" s="182">
        <f t="shared" si="5"/>
        <v>10.44717880004273</v>
      </c>
      <c r="N21" s="182">
        <f t="shared" si="5"/>
        <v>11.278371100599438</v>
      </c>
      <c r="O21" s="182">
        <f t="shared" si="5"/>
        <v>11.709085169578008</v>
      </c>
    </row>
    <row r="22" spans="2:15" ht="13" outlineLevel="1" x14ac:dyDescent="0.3">
      <c r="C22" s="7" t="s">
        <v>0</v>
      </c>
      <c r="D22" s="169" t="s">
        <v>16</v>
      </c>
      <c r="E22" s="169" t="s">
        <v>116</v>
      </c>
      <c r="G22" s="70">
        <f t="shared" ref="G22:O22" si="6">+SUM(G19:G21)</f>
        <v>52.967258842756863</v>
      </c>
      <c r="H22" s="70">
        <f t="shared" si="6"/>
        <v>52.060062956431004</v>
      </c>
      <c r="I22" s="70">
        <f t="shared" si="6"/>
        <v>45.086483757522721</v>
      </c>
      <c r="J22" s="70">
        <f t="shared" si="6"/>
        <v>59.297687341798223</v>
      </c>
      <c r="K22" s="70">
        <f t="shared" si="6"/>
        <v>53.850365451457314</v>
      </c>
      <c r="L22" s="70">
        <f t="shared" si="6"/>
        <v>48.487068741331314</v>
      </c>
      <c r="M22" s="70">
        <f t="shared" si="6"/>
        <v>51.254564025585829</v>
      </c>
      <c r="N22" s="70">
        <f t="shared" si="6"/>
        <v>52.848507722141612</v>
      </c>
      <c r="O22" s="70">
        <f t="shared" si="6"/>
        <v>53.991727061481633</v>
      </c>
    </row>
    <row r="23" spans="2:15" outlineLevel="1" x14ac:dyDescent="0.25">
      <c r="G23" s="8"/>
      <c r="H23" s="8"/>
      <c r="I23" s="8"/>
      <c r="J23" s="8"/>
      <c r="K23" s="8"/>
      <c r="L23" s="8"/>
      <c r="M23" s="8"/>
      <c r="N23" s="8"/>
      <c r="O23" s="8"/>
    </row>
    <row r="24" spans="2:15" ht="13" x14ac:dyDescent="0.3">
      <c r="B24" s="7" t="s">
        <v>117</v>
      </c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5">
      <c r="C25" s="4" t="s">
        <v>119</v>
      </c>
      <c r="D25" s="6" t="s">
        <v>41</v>
      </c>
      <c r="E25" s="6" t="s">
        <v>56</v>
      </c>
      <c r="G25" s="8"/>
      <c r="H25" s="163">
        <f t="shared" ref="H25:O25" si="7">+SUMPRODUCT(H13:H15,G19:G21)</f>
        <v>35793.610487596074</v>
      </c>
      <c r="I25" s="163">
        <f t="shared" si="7"/>
        <v>40120.095106208806</v>
      </c>
      <c r="J25" s="163">
        <f t="shared" si="7"/>
        <v>35207.711281471195</v>
      </c>
      <c r="K25" s="163">
        <f t="shared" si="7"/>
        <v>38748.463930663733</v>
      </c>
      <c r="L25" s="163">
        <f t="shared" si="7"/>
        <v>39755.835560798412</v>
      </c>
      <c r="M25" s="163">
        <f t="shared" si="7"/>
        <v>37346.52209939935</v>
      </c>
      <c r="N25" s="163">
        <f t="shared" si="7"/>
        <v>40398.735351443465</v>
      </c>
      <c r="O25" s="163">
        <f t="shared" si="7"/>
        <v>41458.578089206436</v>
      </c>
    </row>
    <row r="26" spans="2:15" x14ac:dyDescent="0.25">
      <c r="C26" s="4" t="s">
        <v>120</v>
      </c>
      <c r="D26" s="6" t="s">
        <v>41</v>
      </c>
      <c r="E26" s="6" t="s">
        <v>56</v>
      </c>
      <c r="G26" s="8"/>
      <c r="H26" s="163">
        <f t="shared" ref="H26:O26" si="8">+SUMPRODUCT(G13:G15,G19:G21)</f>
        <v>32352.957699999999</v>
      </c>
      <c r="I26" s="163">
        <f t="shared" si="8"/>
        <v>35409.756079999999</v>
      </c>
      <c r="J26" s="163">
        <f t="shared" si="8"/>
        <v>35589.788370000002</v>
      </c>
      <c r="K26" s="163">
        <f t="shared" si="8"/>
        <v>36795.381600000001</v>
      </c>
      <c r="L26" s="163">
        <f t="shared" si="8"/>
        <v>36654.080999999998</v>
      </c>
      <c r="M26" s="163">
        <f t="shared" si="8"/>
        <v>36738.935720000001</v>
      </c>
      <c r="N26" s="163">
        <f t="shared" si="8"/>
        <v>39392.425279999996</v>
      </c>
      <c r="O26" s="163">
        <f t="shared" si="8"/>
        <v>42063.681370000006</v>
      </c>
    </row>
    <row r="27" spans="2:15" x14ac:dyDescent="0.25">
      <c r="C27" s="4" t="s">
        <v>121</v>
      </c>
      <c r="D27" s="6" t="s">
        <v>41</v>
      </c>
      <c r="E27" s="6" t="s">
        <v>56</v>
      </c>
      <c r="G27" s="8"/>
      <c r="H27" s="163">
        <f>+SUMPRODUCT(H19:H21,G13:G15)</f>
        <v>31927.08638251618</v>
      </c>
      <c r="I27" s="163">
        <f t="shared" ref="I27:O27" si="9">+SUMPRODUCT(I19:I21,H13:H15)</f>
        <v>31696.960476637225</v>
      </c>
      <c r="J27" s="163">
        <f t="shared" si="9"/>
        <v>39218.208838532541</v>
      </c>
      <c r="K27" s="163">
        <f t="shared" si="9"/>
        <v>34997.272251541479</v>
      </c>
      <c r="L27" s="163">
        <f t="shared" si="9"/>
        <v>34115.341420342105</v>
      </c>
      <c r="M27" s="163">
        <f t="shared" si="9"/>
        <v>38791.781486091582</v>
      </c>
      <c r="N27" s="163">
        <f t="shared" si="9"/>
        <v>41033.500855171325</v>
      </c>
      <c r="O27" s="163">
        <f t="shared" si="9"/>
        <v>43582.867303135739</v>
      </c>
    </row>
    <row r="28" spans="2:15" x14ac:dyDescent="0.25">
      <c r="C28" s="4" t="s">
        <v>122</v>
      </c>
      <c r="D28" s="6" t="s">
        <v>41</v>
      </c>
      <c r="E28" s="6" t="s">
        <v>56</v>
      </c>
      <c r="G28" s="8"/>
      <c r="H28" s="163">
        <f t="shared" ref="H28:O28" si="10">+SUMPRODUCT(G13:G15,G19:G21)</f>
        <v>32352.957699999999</v>
      </c>
      <c r="I28" s="163">
        <f t="shared" si="10"/>
        <v>35409.756079999999</v>
      </c>
      <c r="J28" s="163">
        <f t="shared" si="10"/>
        <v>35589.788370000002</v>
      </c>
      <c r="K28" s="163">
        <f t="shared" si="10"/>
        <v>36795.381600000001</v>
      </c>
      <c r="L28" s="163">
        <f t="shared" si="10"/>
        <v>36654.080999999998</v>
      </c>
      <c r="M28" s="163">
        <f t="shared" si="10"/>
        <v>36738.935720000001</v>
      </c>
      <c r="N28" s="163">
        <f t="shared" si="10"/>
        <v>39392.425279999996</v>
      </c>
      <c r="O28" s="163">
        <f t="shared" si="10"/>
        <v>42063.681370000006</v>
      </c>
    </row>
    <row r="29" spans="2:15" x14ac:dyDescent="0.25">
      <c r="G29" s="8"/>
      <c r="H29" s="8"/>
      <c r="I29" s="8"/>
      <c r="J29" s="8"/>
      <c r="K29" s="8"/>
      <c r="L29" s="8"/>
      <c r="M29" s="8"/>
      <c r="N29" s="8"/>
      <c r="O29" s="8"/>
    </row>
    <row r="30" spans="2:15" ht="13" x14ac:dyDescent="0.3">
      <c r="B30" s="7" t="s">
        <v>118</v>
      </c>
      <c r="G30" s="8"/>
      <c r="H30" s="8"/>
      <c r="I30" s="8"/>
      <c r="J30" s="8"/>
      <c r="K30" s="8"/>
      <c r="L30" s="8"/>
      <c r="M30" s="8"/>
      <c r="N30" s="8"/>
      <c r="O30" s="8"/>
    </row>
    <row r="31" spans="2:15" x14ac:dyDescent="0.25">
      <c r="C31" s="4" t="s">
        <v>119</v>
      </c>
      <c r="D31" s="6" t="s">
        <v>41</v>
      </c>
      <c r="E31" s="6" t="s">
        <v>56</v>
      </c>
      <c r="G31" s="8"/>
      <c r="H31" s="163">
        <f>+SUMPRODUCT(H19:H21,H13:H15)</f>
        <v>35409.756079999999</v>
      </c>
      <c r="I31" s="163">
        <f t="shared" ref="I31:O31" si="11">+SUMPRODUCT(I19:I21,I13:I15)</f>
        <v>35589.788370000002</v>
      </c>
      <c r="J31" s="163">
        <f t="shared" si="11"/>
        <v>36795.381600000001</v>
      </c>
      <c r="K31" s="163">
        <f t="shared" si="11"/>
        <v>36654.080999999998</v>
      </c>
      <c r="L31" s="163">
        <f t="shared" si="11"/>
        <v>36738.935720000001</v>
      </c>
      <c r="M31" s="163">
        <f t="shared" si="11"/>
        <v>39392.425279999996</v>
      </c>
      <c r="N31" s="163">
        <f t="shared" si="11"/>
        <v>42063.681370000006</v>
      </c>
      <c r="O31" s="163">
        <f t="shared" si="11"/>
        <v>42972.388890000002</v>
      </c>
    </row>
    <row r="32" spans="2:15" x14ac:dyDescent="0.25">
      <c r="C32" s="4" t="s">
        <v>120</v>
      </c>
      <c r="D32" s="6" t="s">
        <v>41</v>
      </c>
      <c r="E32" s="6" t="s">
        <v>56</v>
      </c>
      <c r="G32" s="8"/>
      <c r="H32" s="163">
        <f>+SUMPRODUCT(H19:H21,G13:G15)</f>
        <v>31927.08638251618</v>
      </c>
      <c r="I32" s="163">
        <f t="shared" ref="I32:O32" si="12">+SUMPRODUCT(I19:I21,H13:H15)</f>
        <v>31696.960476637225</v>
      </c>
      <c r="J32" s="163">
        <f t="shared" si="12"/>
        <v>39218.208838532541</v>
      </c>
      <c r="K32" s="163">
        <f t="shared" si="12"/>
        <v>34997.272251541479</v>
      </c>
      <c r="L32" s="163">
        <f t="shared" si="12"/>
        <v>34115.341420342105</v>
      </c>
      <c r="M32" s="163">
        <f t="shared" si="12"/>
        <v>38791.781486091582</v>
      </c>
      <c r="N32" s="163">
        <f t="shared" si="12"/>
        <v>41033.500855171325</v>
      </c>
      <c r="O32" s="163">
        <f t="shared" si="12"/>
        <v>43582.867303135739</v>
      </c>
    </row>
    <row r="33" spans="2:15" x14ac:dyDescent="0.25">
      <c r="C33" s="4" t="s">
        <v>121</v>
      </c>
      <c r="D33" s="6" t="s">
        <v>41</v>
      </c>
      <c r="E33" s="6" t="s">
        <v>56</v>
      </c>
      <c r="G33" s="8"/>
      <c r="H33" s="163">
        <f t="shared" ref="H33:O33" si="13">+SUMPRODUCT(H19:H21,H13:H15)</f>
        <v>35409.756079999999</v>
      </c>
      <c r="I33" s="163">
        <f t="shared" si="13"/>
        <v>35589.788370000002</v>
      </c>
      <c r="J33" s="163">
        <f t="shared" si="13"/>
        <v>36795.381600000001</v>
      </c>
      <c r="K33" s="163">
        <f t="shared" si="13"/>
        <v>36654.080999999998</v>
      </c>
      <c r="L33" s="163">
        <f t="shared" si="13"/>
        <v>36738.935720000001</v>
      </c>
      <c r="M33" s="163">
        <f t="shared" si="13"/>
        <v>39392.425279999996</v>
      </c>
      <c r="N33" s="163">
        <f t="shared" si="13"/>
        <v>42063.681370000006</v>
      </c>
      <c r="O33" s="163">
        <f t="shared" si="13"/>
        <v>42972.388890000002</v>
      </c>
    </row>
    <row r="34" spans="2:15" x14ac:dyDescent="0.25">
      <c r="C34" s="4" t="s">
        <v>122</v>
      </c>
      <c r="D34" s="6" t="s">
        <v>41</v>
      </c>
      <c r="E34" s="6" t="s">
        <v>56</v>
      </c>
      <c r="G34" s="8"/>
      <c r="H34" s="8">
        <f t="shared" ref="H34:O34" si="14">+SUMPRODUCT(G19:G21,H13:H15)</f>
        <v>35793.610487596074</v>
      </c>
      <c r="I34" s="8">
        <f t="shared" si="14"/>
        <v>40120.095106208806</v>
      </c>
      <c r="J34" s="8">
        <f t="shared" si="14"/>
        <v>35207.711281471195</v>
      </c>
      <c r="K34" s="8">
        <f t="shared" si="14"/>
        <v>38748.463930663733</v>
      </c>
      <c r="L34" s="8">
        <f t="shared" si="14"/>
        <v>39755.835560798412</v>
      </c>
      <c r="M34" s="8">
        <f t="shared" si="14"/>
        <v>37346.52209939935</v>
      </c>
      <c r="N34" s="8">
        <f t="shared" si="14"/>
        <v>40398.735351443465</v>
      </c>
      <c r="O34" s="8">
        <f t="shared" si="14"/>
        <v>41458.578089206436</v>
      </c>
    </row>
    <row r="35" spans="2:15" x14ac:dyDescent="0.25">
      <c r="G35" s="8"/>
      <c r="H35" s="8"/>
      <c r="I35" s="8"/>
      <c r="J35" s="8"/>
      <c r="K35" s="8"/>
      <c r="L35" s="8"/>
      <c r="M35" s="8"/>
      <c r="N35" s="8"/>
      <c r="O35" s="8"/>
    </row>
    <row r="36" spans="2:15" ht="13" x14ac:dyDescent="0.3">
      <c r="B36" s="3" t="s">
        <v>43</v>
      </c>
      <c r="C36" s="1"/>
      <c r="D36" s="2"/>
      <c r="E36" s="2"/>
      <c r="F36" s="1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2:15" outlineLevel="1" x14ac:dyDescent="0.25">
      <c r="G37" s="8"/>
      <c r="H37" s="8"/>
      <c r="I37" s="8"/>
      <c r="J37" s="8"/>
      <c r="K37" s="8"/>
      <c r="L37" s="8"/>
      <c r="M37" s="8"/>
      <c r="N37" s="8"/>
      <c r="O37" s="8"/>
    </row>
    <row r="38" spans="2:15" ht="13" outlineLevel="1" x14ac:dyDescent="0.3">
      <c r="B38" s="7" t="s">
        <v>123</v>
      </c>
      <c r="G38" s="8"/>
      <c r="H38" s="8"/>
      <c r="I38" s="8"/>
      <c r="J38" s="8"/>
      <c r="K38" s="8"/>
      <c r="L38" s="8"/>
      <c r="M38" s="8"/>
      <c r="N38" s="8"/>
      <c r="O38" s="8"/>
    </row>
    <row r="39" spans="2:15" outlineLevel="1" x14ac:dyDescent="0.25">
      <c r="C39" s="4" t="str">
        <f>+Opex!C24</f>
        <v>Servicios prestados por terceros</v>
      </c>
      <c r="D39" s="6" t="s">
        <v>16</v>
      </c>
      <c r="E39" s="6" t="s">
        <v>56</v>
      </c>
      <c r="G39" s="163">
        <f>+Opex!H24</f>
        <v>8297.4108000000015</v>
      </c>
      <c r="H39" s="163">
        <f>+Opex!I24</f>
        <v>7751.0619199999992</v>
      </c>
      <c r="I39" s="163">
        <f>+Opex!J24</f>
        <v>8620.5982800000002</v>
      </c>
      <c r="J39" s="163">
        <f>+Opex!K24</f>
        <v>8585.1313399999999</v>
      </c>
      <c r="K39" s="163">
        <f>+Opex!L24</f>
        <v>9620.357350000002</v>
      </c>
      <c r="L39" s="163">
        <f>+Opex!M24</f>
        <v>9881.6015299999999</v>
      </c>
      <c r="M39" s="163">
        <f>+Opex!N24</f>
        <v>11724.025359999998</v>
      </c>
      <c r="N39" s="163">
        <f>+Opex!O24</f>
        <v>10242.640179999999</v>
      </c>
      <c r="O39" s="163">
        <f>+Opex!P24</f>
        <v>10138.387379999996</v>
      </c>
    </row>
    <row r="40" spans="2:15" outlineLevel="1" x14ac:dyDescent="0.25">
      <c r="C40" s="4" t="str">
        <f>+Opex!C25</f>
        <v>Seguridad y limpieza</v>
      </c>
      <c r="D40" s="6" t="s">
        <v>16</v>
      </c>
      <c r="E40" s="6" t="s">
        <v>56</v>
      </c>
      <c r="G40" s="163">
        <f>+Opex!H25</f>
        <v>3406.5491400000005</v>
      </c>
      <c r="H40" s="163">
        <f>+Opex!I25</f>
        <v>3230.1757599999996</v>
      </c>
      <c r="I40" s="163">
        <f>+Opex!J25</f>
        <v>2895.0772699999998</v>
      </c>
      <c r="J40" s="163">
        <f>+Opex!K25</f>
        <v>2138.3890500000002</v>
      </c>
      <c r="K40" s="163">
        <f>+Opex!L25</f>
        <v>2109.99667</v>
      </c>
      <c r="L40" s="163">
        <f>+Opex!M25</f>
        <v>2116.8495600000001</v>
      </c>
      <c r="M40" s="163">
        <f>+Opex!N25</f>
        <v>1908.7745899999998</v>
      </c>
      <c r="N40" s="163">
        <f>+Opex!O25</f>
        <v>1950.3940099999998</v>
      </c>
      <c r="O40" s="163">
        <f>+Opex!P25</f>
        <v>1811.3034299999999</v>
      </c>
    </row>
    <row r="41" spans="2:15" outlineLevel="1" x14ac:dyDescent="0.25">
      <c r="C41" s="4" t="str">
        <f>+Opex!C26</f>
        <v>Servicios básicos</v>
      </c>
      <c r="D41" s="6" t="s">
        <v>16</v>
      </c>
      <c r="E41" s="6" t="s">
        <v>56</v>
      </c>
      <c r="G41" s="163">
        <f>+Opex!H26</f>
        <v>1176.9263199999998</v>
      </c>
      <c r="H41" s="163">
        <f>+Opex!I26</f>
        <v>1427.1543100000001</v>
      </c>
      <c r="I41" s="163">
        <f>+Opex!J26</f>
        <v>1359.7539899999999</v>
      </c>
      <c r="J41" s="163">
        <f>+Opex!K26</f>
        <v>1463.0715599999999</v>
      </c>
      <c r="K41" s="163">
        <f>+Opex!L26</f>
        <v>2240.3244599999998</v>
      </c>
      <c r="L41" s="163">
        <f>+Opex!M26</f>
        <v>2905.7992100000001</v>
      </c>
      <c r="M41" s="163">
        <f>+Opex!N26</f>
        <v>2585.20246</v>
      </c>
      <c r="N41" s="163">
        <f>+Opex!O26</f>
        <v>2435.6868899999999</v>
      </c>
      <c r="O41" s="163">
        <f>+Opex!P26</f>
        <v>2575.9088099999999</v>
      </c>
    </row>
    <row r="42" spans="2:15" outlineLevel="1" x14ac:dyDescent="0.25">
      <c r="C42" s="4" t="str">
        <f>+Opex!C27</f>
        <v>Mantenimiento y reparaciones</v>
      </c>
      <c r="D42" s="6" t="s">
        <v>16</v>
      </c>
      <c r="E42" s="6" t="s">
        <v>56</v>
      </c>
      <c r="G42" s="163">
        <f>+Opex!H27</f>
        <v>1727.14192</v>
      </c>
      <c r="H42" s="163">
        <f>+Opex!I27</f>
        <v>2184.9997599999997</v>
      </c>
      <c r="I42" s="163">
        <f>+Opex!J27</f>
        <v>2687.4779599999997</v>
      </c>
      <c r="J42" s="163">
        <f>+Opex!K27</f>
        <v>3528.5381499999999</v>
      </c>
      <c r="K42" s="163">
        <f>+Opex!L27</f>
        <v>3371.7980400000001</v>
      </c>
      <c r="L42" s="163">
        <f>+Opex!M27</f>
        <v>5391.3660099999997</v>
      </c>
      <c r="M42" s="163">
        <f>+Opex!N27</f>
        <v>8611.0540899999996</v>
      </c>
      <c r="N42" s="163">
        <f>+Opex!O27</f>
        <v>12934.47328</v>
      </c>
      <c r="O42" s="163">
        <f>+Opex!P27</f>
        <v>10865.788159999998</v>
      </c>
    </row>
    <row r="43" spans="2:15" outlineLevel="1" x14ac:dyDescent="0.25">
      <c r="C43" s="4" t="str">
        <f>+Opex!C28</f>
        <v>Combustible</v>
      </c>
      <c r="D43" s="6" t="s">
        <v>16</v>
      </c>
      <c r="E43" s="6" t="s">
        <v>56</v>
      </c>
      <c r="G43" s="163">
        <f>+Opex!H28</f>
        <v>1444.3386</v>
      </c>
      <c r="H43" s="163">
        <f>+Opex!I28</f>
        <v>1704.82852</v>
      </c>
      <c r="I43" s="163">
        <f>+Opex!J28</f>
        <v>2493.3229000000001</v>
      </c>
      <c r="J43" s="163">
        <f>+Opex!K28</f>
        <v>2655.5786600000001</v>
      </c>
      <c r="K43" s="163">
        <f>+Opex!L28</f>
        <v>2011.4886000000001</v>
      </c>
      <c r="L43" s="163">
        <f>+Opex!M28</f>
        <v>2247.9425099999999</v>
      </c>
      <c r="M43" s="163">
        <f>+Opex!N28</f>
        <v>2097.6233499999998</v>
      </c>
      <c r="N43" s="163">
        <f>+Opex!O28</f>
        <v>2262.2871399999995</v>
      </c>
      <c r="O43" s="163">
        <f>+Opex!P28</f>
        <v>2034.2636199999999</v>
      </c>
    </row>
    <row r="44" spans="2:15" outlineLevel="1" x14ac:dyDescent="0.25">
      <c r="C44" s="4" t="str">
        <f>+Opex!C29</f>
        <v>Suministros</v>
      </c>
      <c r="D44" s="6" t="s">
        <v>16</v>
      </c>
      <c r="E44" s="6" t="s">
        <v>56</v>
      </c>
      <c r="G44" s="163">
        <f>+Opex!H29</f>
        <v>1162.8663799999999</v>
      </c>
      <c r="H44" s="163">
        <f>+Opex!I29</f>
        <v>714.74987999999996</v>
      </c>
      <c r="I44" s="163">
        <f>+Opex!J29</f>
        <v>1015.3835800000001</v>
      </c>
      <c r="J44" s="163">
        <f>+Opex!K29</f>
        <v>897.63118999999995</v>
      </c>
      <c r="K44" s="163">
        <f>+Opex!L29</f>
        <v>1016.93614</v>
      </c>
      <c r="L44" s="163">
        <f>+Opex!M29</f>
        <v>1121.0720700000004</v>
      </c>
      <c r="M44" s="163">
        <f>+Opex!N29</f>
        <v>1153.8732500000001</v>
      </c>
      <c r="N44" s="163">
        <f>+Opex!O29</f>
        <v>1162.0875600000002</v>
      </c>
      <c r="O44" s="163">
        <f>+Opex!P29</f>
        <v>1714.24965</v>
      </c>
    </row>
    <row r="45" spans="2:15" outlineLevel="1" x14ac:dyDescent="0.25">
      <c r="C45" s="4" t="str">
        <f>+Opex!C30</f>
        <v>Seguros</v>
      </c>
      <c r="D45" s="6" t="s">
        <v>16</v>
      </c>
      <c r="E45" s="6" t="s">
        <v>56</v>
      </c>
      <c r="G45" s="163">
        <f>+Opex!H30</f>
        <v>3390.6257000000001</v>
      </c>
      <c r="H45" s="163">
        <f>+Opex!I30</f>
        <v>3099.0134200000002</v>
      </c>
      <c r="I45" s="163">
        <f>+Opex!J30</f>
        <v>3273.2610900000009</v>
      </c>
      <c r="J45" s="163">
        <f>+Opex!K30</f>
        <v>3420.1400799999992</v>
      </c>
      <c r="K45" s="163">
        <f>+Opex!L30</f>
        <v>3943.0526900000004</v>
      </c>
      <c r="L45" s="163">
        <f>+Opex!M30</f>
        <v>4499.0905300000004</v>
      </c>
      <c r="M45" s="163">
        <f>+Opex!N30</f>
        <v>4523.4614100000008</v>
      </c>
      <c r="N45" s="163">
        <f>+Opex!O30</f>
        <v>4843.3902199999993</v>
      </c>
      <c r="O45" s="163">
        <f>+Opex!P30</f>
        <v>4878.274190000001</v>
      </c>
    </row>
    <row r="46" spans="2:15" outlineLevel="1" x14ac:dyDescent="0.25">
      <c r="C46" s="4" t="str">
        <f>+Opex!C31</f>
        <v>Otros</v>
      </c>
      <c r="D46" s="6" t="s">
        <v>16</v>
      </c>
      <c r="E46" s="6" t="s">
        <v>56</v>
      </c>
      <c r="G46" s="163">
        <f>+Opex!H31</f>
        <v>1924.68732</v>
      </c>
      <c r="H46" s="163">
        <f>+Opex!I31</f>
        <v>1338.8444300000001</v>
      </c>
      <c r="I46" s="163">
        <f>+Opex!J31</f>
        <v>671.45267999999999</v>
      </c>
      <c r="J46" s="163">
        <f>+Opex!K31</f>
        <v>1019.4279500000001</v>
      </c>
      <c r="K46" s="163">
        <f>+Opex!L31</f>
        <v>1107.4684899999995</v>
      </c>
      <c r="L46" s="163">
        <f>+Opex!M31</f>
        <v>753.57372999999995</v>
      </c>
      <c r="M46" s="163">
        <f>+Opex!N31</f>
        <v>1385.1715300000001</v>
      </c>
      <c r="N46" s="163">
        <f>+Opex!O31</f>
        <v>2080.3079700000003</v>
      </c>
      <c r="O46" s="163">
        <f>+Opex!P31</f>
        <v>1214.2073300000002</v>
      </c>
    </row>
    <row r="47" spans="2:15" ht="13" outlineLevel="1" x14ac:dyDescent="0.3">
      <c r="C47" s="119" t="str">
        <f>+Opex!C32</f>
        <v>Total</v>
      </c>
      <c r="D47" s="120" t="s">
        <v>16</v>
      </c>
      <c r="E47" s="120" t="s">
        <v>56</v>
      </c>
      <c r="G47" s="183">
        <f t="shared" ref="G47:O47" si="15">+SUM(G39:G46)</f>
        <v>22530.546180000005</v>
      </c>
      <c r="H47" s="183">
        <f t="shared" si="15"/>
        <v>21450.827999999998</v>
      </c>
      <c r="I47" s="183">
        <f t="shared" si="15"/>
        <v>23016.32775</v>
      </c>
      <c r="J47" s="183">
        <f t="shared" si="15"/>
        <v>23707.90798</v>
      </c>
      <c r="K47" s="183">
        <f t="shared" si="15"/>
        <v>25421.422440000006</v>
      </c>
      <c r="L47" s="183">
        <f t="shared" si="15"/>
        <v>28917.295150000002</v>
      </c>
      <c r="M47" s="183">
        <f t="shared" si="15"/>
        <v>33989.186040000001</v>
      </c>
      <c r="N47" s="183">
        <f t="shared" si="15"/>
        <v>37911.267250000004</v>
      </c>
      <c r="O47" s="183">
        <f t="shared" si="15"/>
        <v>35232.382570000002</v>
      </c>
    </row>
    <row r="48" spans="2:15" outlineLevel="1" x14ac:dyDescent="0.25">
      <c r="G48" s="8"/>
      <c r="H48" s="8"/>
      <c r="I48" s="8"/>
      <c r="J48" s="8"/>
      <c r="K48" s="8"/>
      <c r="L48" s="8"/>
      <c r="M48" s="8"/>
      <c r="N48" s="8"/>
      <c r="O48" s="8"/>
    </row>
    <row r="49" spans="2:25" ht="13" outlineLevel="1" x14ac:dyDescent="0.3">
      <c r="B49" s="7" t="s">
        <v>125</v>
      </c>
      <c r="G49" s="8"/>
      <c r="H49" s="8"/>
      <c r="I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</row>
    <row r="50" spans="2:25" outlineLevel="1" x14ac:dyDescent="0.25">
      <c r="C50" s="4" t="str">
        <f t="shared" ref="C50:C58" si="16">+C61</f>
        <v>Servicios prestados por terceros</v>
      </c>
      <c r="D50" s="6" t="s">
        <v>16</v>
      </c>
      <c r="E50" s="6" t="s">
        <v>132</v>
      </c>
      <c r="G50" s="163">
        <f t="shared" ref="G50:O50" si="17">+G39/G61</f>
        <v>82.974108000000015</v>
      </c>
      <c r="H50" s="163">
        <f t="shared" si="17"/>
        <v>71.613628689946637</v>
      </c>
      <c r="I50" s="163">
        <f t="shared" si="17"/>
        <v>79.362887675469267</v>
      </c>
      <c r="J50" s="163">
        <f t="shared" si="17"/>
        <v>80.418650461792168</v>
      </c>
      <c r="K50" s="163">
        <f t="shared" si="17"/>
        <v>97.638410663214714</v>
      </c>
      <c r="L50" s="163">
        <f t="shared" si="17"/>
        <v>102.60646606925604</v>
      </c>
      <c r="M50" s="163">
        <f t="shared" si="17"/>
        <v>114.39730910501089</v>
      </c>
      <c r="N50" s="163">
        <f t="shared" si="17"/>
        <v>99.433890221546065</v>
      </c>
      <c r="O50" s="163">
        <f t="shared" si="17"/>
        <v>97.841143206510765</v>
      </c>
    </row>
    <row r="51" spans="2:25" outlineLevel="1" x14ac:dyDescent="0.25">
      <c r="C51" s="4" t="str">
        <f t="shared" si="16"/>
        <v>Seguridad y limpieza</v>
      </c>
      <c r="D51" s="6" t="s">
        <v>16</v>
      </c>
      <c r="E51" s="6" t="s">
        <v>132</v>
      </c>
      <c r="G51" s="163">
        <f t="shared" ref="G51:O51" si="18">+G40/G62</f>
        <v>34.065491400000006</v>
      </c>
      <c r="H51" s="163">
        <f t="shared" si="18"/>
        <v>29.844247132514997</v>
      </c>
      <c r="I51" s="163">
        <f t="shared" si="18"/>
        <v>26.652638799312452</v>
      </c>
      <c r="J51" s="163">
        <f t="shared" si="18"/>
        <v>20.03071994508052</v>
      </c>
      <c r="K51" s="163">
        <f t="shared" si="18"/>
        <v>21.414664119880694</v>
      </c>
      <c r="L51" s="163">
        <f t="shared" si="18"/>
        <v>21.980490904479893</v>
      </c>
      <c r="M51" s="163">
        <f t="shared" si="18"/>
        <v>18.624889496487786</v>
      </c>
      <c r="N51" s="163">
        <f t="shared" si="18"/>
        <v>18.934108830434482</v>
      </c>
      <c r="O51" s="163">
        <f t="shared" si="18"/>
        <v>17.48009734118822</v>
      </c>
    </row>
    <row r="52" spans="2:25" outlineLevel="1" x14ac:dyDescent="0.25">
      <c r="C52" s="4" t="str">
        <f t="shared" si="16"/>
        <v>Servicios básicos</v>
      </c>
      <c r="D52" s="6" t="s">
        <v>16</v>
      </c>
      <c r="E52" s="6" t="s">
        <v>132</v>
      </c>
      <c r="G52" s="163">
        <f t="shared" ref="G52:O52" si="19">+G41/G63</f>
        <v>11.769263199999997</v>
      </c>
      <c r="H52" s="163">
        <f t="shared" si="19"/>
        <v>13.185767304462074</v>
      </c>
      <c r="I52" s="163">
        <f t="shared" si="19"/>
        <v>12.51815705471444</v>
      </c>
      <c r="J52" s="163">
        <f t="shared" si="19"/>
        <v>13.704885309795271</v>
      </c>
      <c r="K52" s="163">
        <f t="shared" si="19"/>
        <v>22.737379879586769</v>
      </c>
      <c r="L52" s="163">
        <f t="shared" si="19"/>
        <v>30.172617985025756</v>
      </c>
      <c r="M52" s="163">
        <f t="shared" si="19"/>
        <v>25.225142033951947</v>
      </c>
      <c r="N52" s="163">
        <f t="shared" si="19"/>
        <v>23.645253428625175</v>
      </c>
      <c r="O52" s="163">
        <f t="shared" si="19"/>
        <v>24.858969510605029</v>
      </c>
    </row>
    <row r="53" spans="2:25" outlineLevel="1" x14ac:dyDescent="0.25">
      <c r="C53" s="4" t="str">
        <f t="shared" si="16"/>
        <v>Mantenimiento y reparaciones</v>
      </c>
      <c r="D53" s="6" t="s">
        <v>16</v>
      </c>
      <c r="E53" s="6" t="s">
        <v>132</v>
      </c>
      <c r="G53" s="163">
        <f t="shared" ref="G53:O53" si="20">+G42/G64</f>
        <v>17.2714192</v>
      </c>
      <c r="H53" s="163">
        <f t="shared" si="20"/>
        <v>20.187654687225429</v>
      </c>
      <c r="I53" s="163">
        <f t="shared" si="20"/>
        <v>24.74143957787803</v>
      </c>
      <c r="J53" s="163">
        <f t="shared" si="20"/>
        <v>33.052525918135665</v>
      </c>
      <c r="K53" s="163">
        <f t="shared" si="20"/>
        <v>34.220870361218175</v>
      </c>
      <c r="L53" s="163">
        <f t="shared" si="20"/>
        <v>55.981716313145576</v>
      </c>
      <c r="M53" s="163">
        <f t="shared" si="20"/>
        <v>84.02245698091005</v>
      </c>
      <c r="N53" s="163">
        <f t="shared" si="20"/>
        <v>125.56576952770014</v>
      </c>
      <c r="O53" s="163">
        <f t="shared" si="20"/>
        <v>104.86097005046273</v>
      </c>
    </row>
    <row r="54" spans="2:25" outlineLevel="1" x14ac:dyDescent="0.25">
      <c r="C54" s="4" t="str">
        <f t="shared" si="16"/>
        <v>Combustible</v>
      </c>
      <c r="D54" s="6" t="s">
        <v>16</v>
      </c>
      <c r="E54" s="6" t="s">
        <v>132</v>
      </c>
      <c r="G54" s="163">
        <f t="shared" ref="G54:O54" si="21">+G43/G65</f>
        <v>14.443386</v>
      </c>
      <c r="H54" s="163">
        <f t="shared" si="21"/>
        <v>15.751255488784857</v>
      </c>
      <c r="I54" s="163">
        <f t="shared" si="21"/>
        <v>22.954010710655144</v>
      </c>
      <c r="J54" s="163">
        <f t="shared" si="21"/>
        <v>24.875338952279144</v>
      </c>
      <c r="K54" s="163">
        <f t="shared" si="21"/>
        <v>20.414891341970247</v>
      </c>
      <c r="L54" s="163">
        <f t="shared" si="21"/>
        <v>23.341705914542501</v>
      </c>
      <c r="M54" s="163">
        <f t="shared" si="21"/>
        <v>20.467583392862814</v>
      </c>
      <c r="N54" s="163">
        <f t="shared" si="21"/>
        <v>21.961916769039075</v>
      </c>
      <c r="O54" s="163">
        <f t="shared" si="21"/>
        <v>19.63178863700265</v>
      </c>
    </row>
    <row r="55" spans="2:25" outlineLevel="1" x14ac:dyDescent="0.25">
      <c r="C55" s="4" t="str">
        <f t="shared" si="16"/>
        <v>Suministros</v>
      </c>
      <c r="D55" s="6" t="s">
        <v>16</v>
      </c>
      <c r="E55" s="6" t="s">
        <v>132</v>
      </c>
      <c r="G55" s="163">
        <f t="shared" ref="G55:O55" si="22">+G44/G66</f>
        <v>11.6286638</v>
      </c>
      <c r="H55" s="163">
        <f t="shared" si="22"/>
        <v>6.6037186956834324</v>
      </c>
      <c r="I55" s="163">
        <f t="shared" si="22"/>
        <v>9.3478167511890913</v>
      </c>
      <c r="J55" s="163">
        <f t="shared" si="22"/>
        <v>8.4082917375859925</v>
      </c>
      <c r="K55" s="163">
        <f t="shared" si="22"/>
        <v>10.321033288392806</v>
      </c>
      <c r="L55" s="163">
        <f t="shared" si="22"/>
        <v>11.640749018509116</v>
      </c>
      <c r="M55" s="163">
        <f t="shared" si="22"/>
        <v>11.258931194281683</v>
      </c>
      <c r="N55" s="163">
        <f t="shared" si="22"/>
        <v>11.281357622470379</v>
      </c>
      <c r="O55" s="163">
        <f t="shared" si="22"/>
        <v>16.543473750887689</v>
      </c>
    </row>
    <row r="56" spans="2:25" outlineLevel="1" x14ac:dyDescent="0.25">
      <c r="C56" s="4" t="str">
        <f t="shared" si="16"/>
        <v>Seguros</v>
      </c>
      <c r="D56" s="6" t="s">
        <v>16</v>
      </c>
      <c r="E56" s="6" t="s">
        <v>132</v>
      </c>
      <c r="G56" s="163">
        <f t="shared" ref="G56:O56" si="23">+G45/G67</f>
        <v>33.906257000000004</v>
      </c>
      <c r="H56" s="163">
        <f t="shared" si="23"/>
        <v>28.632411746369034</v>
      </c>
      <c r="I56" s="163">
        <f t="shared" si="23"/>
        <v>30.134271866123214</v>
      </c>
      <c r="J56" s="163">
        <f t="shared" si="23"/>
        <v>32.03713941362787</v>
      </c>
      <c r="K56" s="163">
        <f t="shared" si="23"/>
        <v>40.018617168406273</v>
      </c>
      <c r="L56" s="163">
        <f t="shared" si="23"/>
        <v>46.716696520038305</v>
      </c>
      <c r="M56" s="163">
        <f t="shared" si="23"/>
        <v>44.137725504234034</v>
      </c>
      <c r="N56" s="163">
        <f t="shared" si="23"/>
        <v>47.018846993763077</v>
      </c>
      <c r="O56" s="163">
        <f t="shared" si="23"/>
        <v>47.07809099561311</v>
      </c>
    </row>
    <row r="57" spans="2:25" outlineLevel="1" x14ac:dyDescent="0.25">
      <c r="C57" s="4" t="str">
        <f t="shared" si="16"/>
        <v>Otros</v>
      </c>
      <c r="D57" s="6" t="s">
        <v>16</v>
      </c>
      <c r="E57" s="6" t="s">
        <v>132</v>
      </c>
      <c r="G57" s="163">
        <f t="shared" ref="G57:O57" si="24">+G46/G68</f>
        <v>19.2468732</v>
      </c>
      <c r="H57" s="163">
        <f t="shared" si="24"/>
        <v>12.369854462938322</v>
      </c>
      <c r="I57" s="163">
        <f t="shared" si="24"/>
        <v>6.1815226613520853</v>
      </c>
      <c r="J57" s="163">
        <f t="shared" si="24"/>
        <v>9.5491864638184278</v>
      </c>
      <c r="K57" s="163">
        <f t="shared" si="24"/>
        <v>11.239859320110416</v>
      </c>
      <c r="L57" s="163">
        <f t="shared" si="24"/>
        <v>7.8247981486790135</v>
      </c>
      <c r="M57" s="163">
        <f t="shared" si="24"/>
        <v>13.515826758743117</v>
      </c>
      <c r="N57" s="163">
        <f t="shared" si="24"/>
        <v>20.195292491079915</v>
      </c>
      <c r="O57" s="163">
        <f t="shared" si="24"/>
        <v>11.717783983208298</v>
      </c>
    </row>
    <row r="58" spans="2:25" ht="13" outlineLevel="1" x14ac:dyDescent="0.3">
      <c r="C58" s="7" t="str">
        <f t="shared" si="16"/>
        <v>Total</v>
      </c>
      <c r="D58" s="169" t="s">
        <v>16</v>
      </c>
      <c r="E58" s="169" t="s">
        <v>132</v>
      </c>
      <c r="G58" s="166">
        <f t="shared" ref="G58:O58" si="25">+SUM(G50:G57)</f>
        <v>225.30546180000002</v>
      </c>
      <c r="H58" s="166">
        <f t="shared" si="25"/>
        <v>198.18853820792478</v>
      </c>
      <c r="I58" s="166">
        <f t="shared" si="25"/>
        <v>211.89274509669374</v>
      </c>
      <c r="J58" s="166">
        <f t="shared" si="25"/>
        <v>222.07673820211505</v>
      </c>
      <c r="K58" s="166">
        <f t="shared" si="25"/>
        <v>258.00572614278013</v>
      </c>
      <c r="L58" s="166">
        <f t="shared" si="25"/>
        <v>300.26524087367619</v>
      </c>
      <c r="M58" s="166">
        <f t="shared" si="25"/>
        <v>331.64986446648231</v>
      </c>
      <c r="N58" s="166">
        <f t="shared" si="25"/>
        <v>368.03643588465826</v>
      </c>
      <c r="O58" s="166">
        <f t="shared" si="25"/>
        <v>340.01231747547843</v>
      </c>
    </row>
    <row r="59" spans="2:25" outlineLevel="1" x14ac:dyDescent="0.25">
      <c r="G59" s="8"/>
      <c r="H59" s="8"/>
      <c r="I59" s="8"/>
      <c r="J59" s="8"/>
      <c r="K59" s="8"/>
      <c r="L59" s="8"/>
      <c r="M59" s="8"/>
      <c r="N59" s="8"/>
      <c r="O59" s="8"/>
    </row>
    <row r="60" spans="2:25" ht="13" outlineLevel="1" x14ac:dyDescent="0.3">
      <c r="B60" s="7" t="s">
        <v>124</v>
      </c>
      <c r="G60" s="8"/>
      <c r="H60" s="8"/>
      <c r="I60" s="8"/>
      <c r="J60" s="8"/>
      <c r="K60" s="8"/>
      <c r="L60" s="8"/>
      <c r="M60" s="8"/>
      <c r="N60" s="8"/>
      <c r="O60" s="8"/>
    </row>
    <row r="61" spans="2:25" outlineLevel="1" x14ac:dyDescent="0.25">
      <c r="C61" s="4" t="str">
        <f t="shared" ref="C61:C69" si="26">+C39</f>
        <v>Servicios prestados por terceros</v>
      </c>
      <c r="D61" s="6" t="s">
        <v>16</v>
      </c>
      <c r="E61" s="6" t="s">
        <v>77</v>
      </c>
      <c r="G61" s="163">
        <f>+INDEX('Macro anual'!$N$19:$N$29,MATCH(G$1,'Macro anual'!$B$19:$B$29,0))</f>
        <v>100</v>
      </c>
      <c r="H61" s="163">
        <f>+INDEX('Macro anual'!$N$19:$N$29,MATCH(H$1,'Macro anual'!$B$19:$B$29,0))</f>
        <v>108.23445287989043</v>
      </c>
      <c r="I61" s="163">
        <f>+INDEX('Macro anual'!$N$19:$N$29,MATCH(I$1,'Macro anual'!$B$19:$B$29,0))</f>
        <v>108.62253797078745</v>
      </c>
      <c r="J61" s="163">
        <f>+INDEX('Macro anual'!$N$19:$N$29,MATCH(J$1,'Macro anual'!$B$19:$B$29,0))</f>
        <v>106.75547638142591</v>
      </c>
      <c r="K61" s="163">
        <f>+INDEX('Macro anual'!$N$19:$N$29,MATCH(K$1,'Macro anual'!$B$19:$B$29,0))</f>
        <v>98.530458296618633</v>
      </c>
      <c r="L61" s="163">
        <f>+INDEX('Macro anual'!$N$19:$N$29,MATCH(L$1,'Macro anual'!$B$19:$B$29,0))</f>
        <v>96.305836352752266</v>
      </c>
      <c r="M61" s="163">
        <f>+INDEX('Macro anual'!$N$19:$N$29,MATCH(M$1,'Macro anual'!$B$19:$B$29,0))</f>
        <v>102.4851497969934</v>
      </c>
      <c r="N61" s="163">
        <f>+INDEX('Macro anual'!$N$19:$N$29,MATCH(N$1,'Macro anual'!$B$19:$B$29,0))</f>
        <v>103.00954892922964</v>
      </c>
      <c r="O61" s="163">
        <f>+INDEX('Macro anual'!$N$19:$N$29,MATCH(O$1,'Macro anual'!$B$19:$B$29,0))</f>
        <v>103.62090065322688</v>
      </c>
    </row>
    <row r="62" spans="2:25" outlineLevel="1" x14ac:dyDescent="0.25">
      <c r="C62" s="4" t="str">
        <f t="shared" si="26"/>
        <v>Seguridad y limpieza</v>
      </c>
      <c r="D62" s="6" t="s">
        <v>16</v>
      </c>
      <c r="E62" s="6" t="s">
        <v>77</v>
      </c>
      <c r="G62" s="163">
        <f>+INDEX('Macro anual'!$N$19:$N$29,MATCH(G$1,'Macro anual'!$B$19:$B$29,0))</f>
        <v>100</v>
      </c>
      <c r="H62" s="163">
        <f>+INDEX('Macro anual'!$N$19:$N$29,MATCH(H$1,'Macro anual'!$B$19:$B$29,0))</f>
        <v>108.23445287989043</v>
      </c>
      <c r="I62" s="163">
        <f>+INDEX('Macro anual'!$N$19:$N$29,MATCH(I$1,'Macro anual'!$B$19:$B$29,0))</f>
        <v>108.62253797078745</v>
      </c>
      <c r="J62" s="163">
        <f>+INDEX('Macro anual'!$N$19:$N$29,MATCH(J$1,'Macro anual'!$B$19:$B$29,0))</f>
        <v>106.75547638142591</v>
      </c>
      <c r="K62" s="163">
        <f>+INDEX('Macro anual'!$N$19:$N$29,MATCH(K$1,'Macro anual'!$B$19:$B$29,0))</f>
        <v>98.530458296618633</v>
      </c>
      <c r="L62" s="163">
        <f>+INDEX('Macro anual'!$N$19:$N$29,MATCH(L$1,'Macro anual'!$B$19:$B$29,0))</f>
        <v>96.305836352752266</v>
      </c>
      <c r="M62" s="163">
        <f>+INDEX('Macro anual'!$N$19:$N$29,MATCH(M$1,'Macro anual'!$B$19:$B$29,0))</f>
        <v>102.4851497969934</v>
      </c>
      <c r="N62" s="163">
        <f>+INDEX('Macro anual'!$N$19:$N$29,MATCH(N$1,'Macro anual'!$B$19:$B$29,0))</f>
        <v>103.00954892922964</v>
      </c>
      <c r="O62" s="163">
        <f>+INDEX('Macro anual'!$N$19:$N$29,MATCH(O$1,'Macro anual'!$B$19:$B$29,0))</f>
        <v>103.62090065322688</v>
      </c>
    </row>
    <row r="63" spans="2:25" outlineLevel="1" x14ac:dyDescent="0.25">
      <c r="C63" s="4" t="str">
        <f t="shared" si="26"/>
        <v>Servicios básicos</v>
      </c>
      <c r="D63" s="6" t="s">
        <v>16</v>
      </c>
      <c r="E63" s="6" t="s">
        <v>77</v>
      </c>
      <c r="G63" s="163">
        <f>+INDEX('Macro anual'!$N$19:$N$29,MATCH(G$1,'Macro anual'!$B$19:$B$29,0))</f>
        <v>100</v>
      </c>
      <c r="H63" s="163">
        <f>+INDEX('Macro anual'!$N$19:$N$29,MATCH(H$1,'Macro anual'!$B$19:$B$29,0))</f>
        <v>108.23445287989043</v>
      </c>
      <c r="I63" s="163">
        <f>+INDEX('Macro anual'!$N$19:$N$29,MATCH(I$1,'Macro anual'!$B$19:$B$29,0))</f>
        <v>108.62253797078745</v>
      </c>
      <c r="J63" s="163">
        <f>+INDEX('Macro anual'!$N$19:$N$29,MATCH(J$1,'Macro anual'!$B$19:$B$29,0))</f>
        <v>106.75547638142591</v>
      </c>
      <c r="K63" s="163">
        <f>+INDEX('Macro anual'!$N$19:$N$29,MATCH(K$1,'Macro anual'!$B$19:$B$29,0))</f>
        <v>98.530458296618633</v>
      </c>
      <c r="L63" s="163">
        <f>+INDEX('Macro anual'!$N$19:$N$29,MATCH(L$1,'Macro anual'!$B$19:$B$29,0))</f>
        <v>96.305836352752266</v>
      </c>
      <c r="M63" s="163">
        <f>+INDEX('Macro anual'!$N$19:$N$29,MATCH(M$1,'Macro anual'!$B$19:$B$29,0))</f>
        <v>102.4851497969934</v>
      </c>
      <c r="N63" s="163">
        <f>+INDEX('Macro anual'!$N$19:$N$29,MATCH(N$1,'Macro anual'!$B$19:$B$29,0))</f>
        <v>103.00954892922964</v>
      </c>
      <c r="O63" s="163">
        <f>+INDEX('Macro anual'!$N$19:$N$29,MATCH(O$1,'Macro anual'!$B$19:$B$29,0))</f>
        <v>103.62090065322688</v>
      </c>
    </row>
    <row r="64" spans="2:25" outlineLevel="1" x14ac:dyDescent="0.25">
      <c r="C64" s="4" t="str">
        <f t="shared" si="26"/>
        <v>Mantenimiento y reparaciones</v>
      </c>
      <c r="D64" s="6" t="s">
        <v>16</v>
      </c>
      <c r="E64" s="6" t="s">
        <v>77</v>
      </c>
      <c r="G64" s="163">
        <f>+INDEX('Macro anual'!$N$19:$N$29,MATCH(G$1,'Macro anual'!$B$19:$B$29,0))</f>
        <v>100</v>
      </c>
      <c r="H64" s="163">
        <f>+INDEX('Macro anual'!$N$19:$N$29,MATCH(H$1,'Macro anual'!$B$19:$B$29,0))</f>
        <v>108.23445287989043</v>
      </c>
      <c r="I64" s="163">
        <f>+INDEX('Macro anual'!$N$19:$N$29,MATCH(I$1,'Macro anual'!$B$19:$B$29,0))</f>
        <v>108.62253797078745</v>
      </c>
      <c r="J64" s="163">
        <f>+INDEX('Macro anual'!$N$19:$N$29,MATCH(J$1,'Macro anual'!$B$19:$B$29,0))</f>
        <v>106.75547638142591</v>
      </c>
      <c r="K64" s="163">
        <f>+INDEX('Macro anual'!$N$19:$N$29,MATCH(K$1,'Macro anual'!$B$19:$B$29,0))</f>
        <v>98.530458296618633</v>
      </c>
      <c r="L64" s="163">
        <f>+INDEX('Macro anual'!$N$19:$N$29,MATCH(L$1,'Macro anual'!$B$19:$B$29,0))</f>
        <v>96.305836352752266</v>
      </c>
      <c r="M64" s="163">
        <f>+INDEX('Macro anual'!$N$19:$N$29,MATCH(M$1,'Macro anual'!$B$19:$B$29,0))</f>
        <v>102.4851497969934</v>
      </c>
      <c r="N64" s="163">
        <f>+INDEX('Macro anual'!$N$19:$N$29,MATCH(N$1,'Macro anual'!$B$19:$B$29,0))</f>
        <v>103.00954892922964</v>
      </c>
      <c r="O64" s="163">
        <f>+INDEX('Macro anual'!$N$19:$N$29,MATCH(O$1,'Macro anual'!$B$19:$B$29,0))</f>
        <v>103.62090065322688</v>
      </c>
    </row>
    <row r="65" spans="2:15" outlineLevel="1" x14ac:dyDescent="0.25">
      <c r="C65" s="4" t="str">
        <f t="shared" si="26"/>
        <v>Combustible</v>
      </c>
      <c r="D65" s="6" t="s">
        <v>16</v>
      </c>
      <c r="E65" s="6" t="s">
        <v>77</v>
      </c>
      <c r="G65" s="163">
        <f>+INDEX('Macro anual'!$N$19:$N$29,MATCH(G$1,'Macro anual'!$B$19:$B$29,0))</f>
        <v>100</v>
      </c>
      <c r="H65" s="163">
        <f>+INDEX('Macro anual'!$N$19:$N$29,MATCH(H$1,'Macro anual'!$B$19:$B$29,0))</f>
        <v>108.23445287989043</v>
      </c>
      <c r="I65" s="163">
        <f>+INDEX('Macro anual'!$N$19:$N$29,MATCH(I$1,'Macro anual'!$B$19:$B$29,0))</f>
        <v>108.62253797078745</v>
      </c>
      <c r="J65" s="163">
        <f>+INDEX('Macro anual'!$N$19:$N$29,MATCH(J$1,'Macro anual'!$B$19:$B$29,0))</f>
        <v>106.75547638142591</v>
      </c>
      <c r="K65" s="163">
        <f>+INDEX('Macro anual'!$N$19:$N$29,MATCH(K$1,'Macro anual'!$B$19:$B$29,0))</f>
        <v>98.530458296618633</v>
      </c>
      <c r="L65" s="163">
        <f>+INDEX('Macro anual'!$N$19:$N$29,MATCH(L$1,'Macro anual'!$B$19:$B$29,0))</f>
        <v>96.305836352752266</v>
      </c>
      <c r="M65" s="163">
        <f>+INDEX('Macro anual'!$N$19:$N$29,MATCH(M$1,'Macro anual'!$B$19:$B$29,0))</f>
        <v>102.4851497969934</v>
      </c>
      <c r="N65" s="163">
        <f>+INDEX('Macro anual'!$N$19:$N$29,MATCH(N$1,'Macro anual'!$B$19:$B$29,0))</f>
        <v>103.00954892922964</v>
      </c>
      <c r="O65" s="163">
        <f>+INDEX('Macro anual'!$N$19:$N$29,MATCH(O$1,'Macro anual'!$B$19:$B$29,0))</f>
        <v>103.62090065322688</v>
      </c>
    </row>
    <row r="66" spans="2:15" outlineLevel="1" x14ac:dyDescent="0.25">
      <c r="C66" s="4" t="str">
        <f t="shared" si="26"/>
        <v>Suministros</v>
      </c>
      <c r="D66" s="6" t="s">
        <v>16</v>
      </c>
      <c r="E66" s="6" t="s">
        <v>77</v>
      </c>
      <c r="G66" s="163">
        <f>+INDEX('Macro anual'!$N$19:$N$29,MATCH(G$1,'Macro anual'!$B$19:$B$29,0))</f>
        <v>100</v>
      </c>
      <c r="H66" s="163">
        <f>+INDEX('Macro anual'!$N$19:$N$29,MATCH(H$1,'Macro anual'!$B$19:$B$29,0))</f>
        <v>108.23445287989043</v>
      </c>
      <c r="I66" s="163">
        <f>+INDEX('Macro anual'!$N$19:$N$29,MATCH(I$1,'Macro anual'!$B$19:$B$29,0))</f>
        <v>108.62253797078745</v>
      </c>
      <c r="J66" s="163">
        <f>+INDEX('Macro anual'!$N$19:$N$29,MATCH(J$1,'Macro anual'!$B$19:$B$29,0))</f>
        <v>106.75547638142591</v>
      </c>
      <c r="K66" s="163">
        <f>+INDEX('Macro anual'!$N$19:$N$29,MATCH(K$1,'Macro anual'!$B$19:$B$29,0))</f>
        <v>98.530458296618633</v>
      </c>
      <c r="L66" s="163">
        <f>+INDEX('Macro anual'!$N$19:$N$29,MATCH(L$1,'Macro anual'!$B$19:$B$29,0))</f>
        <v>96.305836352752266</v>
      </c>
      <c r="M66" s="163">
        <f>+INDEX('Macro anual'!$N$19:$N$29,MATCH(M$1,'Macro anual'!$B$19:$B$29,0))</f>
        <v>102.4851497969934</v>
      </c>
      <c r="N66" s="163">
        <f>+INDEX('Macro anual'!$N$19:$N$29,MATCH(N$1,'Macro anual'!$B$19:$B$29,0))</f>
        <v>103.00954892922964</v>
      </c>
      <c r="O66" s="163">
        <f>+INDEX('Macro anual'!$N$19:$N$29,MATCH(O$1,'Macro anual'!$B$19:$B$29,0))</f>
        <v>103.62090065322688</v>
      </c>
    </row>
    <row r="67" spans="2:15" outlineLevel="1" x14ac:dyDescent="0.25">
      <c r="C67" s="4" t="str">
        <f t="shared" si="26"/>
        <v>Seguros</v>
      </c>
      <c r="D67" s="6" t="s">
        <v>16</v>
      </c>
      <c r="E67" s="6" t="s">
        <v>77</v>
      </c>
      <c r="G67" s="163">
        <f>+INDEX('Macro anual'!$N$19:$N$29,MATCH(G$1,'Macro anual'!$B$19:$B$29,0))</f>
        <v>100</v>
      </c>
      <c r="H67" s="163">
        <f>+INDEX('Macro anual'!$N$19:$N$29,MATCH(H$1,'Macro anual'!$B$19:$B$29,0))</f>
        <v>108.23445287989043</v>
      </c>
      <c r="I67" s="163">
        <f>+INDEX('Macro anual'!$N$19:$N$29,MATCH(I$1,'Macro anual'!$B$19:$B$29,0))</f>
        <v>108.62253797078745</v>
      </c>
      <c r="J67" s="163">
        <f>+INDEX('Macro anual'!$N$19:$N$29,MATCH(J$1,'Macro anual'!$B$19:$B$29,0))</f>
        <v>106.75547638142591</v>
      </c>
      <c r="K67" s="163">
        <f>+INDEX('Macro anual'!$N$19:$N$29,MATCH(K$1,'Macro anual'!$B$19:$B$29,0))</f>
        <v>98.530458296618633</v>
      </c>
      <c r="L67" s="163">
        <f>+INDEX('Macro anual'!$N$19:$N$29,MATCH(L$1,'Macro anual'!$B$19:$B$29,0))</f>
        <v>96.305836352752266</v>
      </c>
      <c r="M67" s="163">
        <f>+INDEX('Macro anual'!$N$19:$N$29,MATCH(M$1,'Macro anual'!$B$19:$B$29,0))</f>
        <v>102.4851497969934</v>
      </c>
      <c r="N67" s="163">
        <f>+INDEX('Macro anual'!$N$19:$N$29,MATCH(N$1,'Macro anual'!$B$19:$B$29,0))</f>
        <v>103.00954892922964</v>
      </c>
      <c r="O67" s="163">
        <f>+INDEX('Macro anual'!$N$19:$N$29,MATCH(O$1,'Macro anual'!$B$19:$B$29,0))</f>
        <v>103.62090065322688</v>
      </c>
    </row>
    <row r="68" spans="2:15" outlineLevel="1" x14ac:dyDescent="0.25">
      <c r="C68" s="4" t="str">
        <f t="shared" si="26"/>
        <v>Otros</v>
      </c>
      <c r="D68" s="6" t="s">
        <v>16</v>
      </c>
      <c r="E68" s="6" t="s">
        <v>77</v>
      </c>
      <c r="G68" s="163">
        <f>+INDEX('Macro anual'!$N$19:$N$29,MATCH(G$1,'Macro anual'!$B$19:$B$29,0))</f>
        <v>100</v>
      </c>
      <c r="H68" s="163">
        <f>+INDEX('Macro anual'!$N$19:$N$29,MATCH(H$1,'Macro anual'!$B$19:$B$29,0))</f>
        <v>108.23445287989043</v>
      </c>
      <c r="I68" s="163">
        <f>+INDEX('Macro anual'!$N$19:$N$29,MATCH(I$1,'Macro anual'!$B$19:$B$29,0))</f>
        <v>108.62253797078745</v>
      </c>
      <c r="J68" s="163">
        <f>+INDEX('Macro anual'!$N$19:$N$29,MATCH(J$1,'Macro anual'!$B$19:$B$29,0))</f>
        <v>106.75547638142591</v>
      </c>
      <c r="K68" s="163">
        <f>+INDEX('Macro anual'!$N$19:$N$29,MATCH(K$1,'Macro anual'!$B$19:$B$29,0))</f>
        <v>98.530458296618633</v>
      </c>
      <c r="L68" s="163">
        <f>+INDEX('Macro anual'!$N$19:$N$29,MATCH(L$1,'Macro anual'!$B$19:$B$29,0))</f>
        <v>96.305836352752266</v>
      </c>
      <c r="M68" s="163">
        <f>+INDEX('Macro anual'!$N$19:$N$29,MATCH(M$1,'Macro anual'!$B$19:$B$29,0))</f>
        <v>102.4851497969934</v>
      </c>
      <c r="N68" s="163">
        <f>+INDEX('Macro anual'!$N$19:$N$29,MATCH(N$1,'Macro anual'!$B$19:$B$29,0))</f>
        <v>103.00954892922964</v>
      </c>
      <c r="O68" s="163">
        <f>+INDEX('Macro anual'!$N$19:$N$29,MATCH(O$1,'Macro anual'!$B$19:$B$29,0))</f>
        <v>103.62090065322688</v>
      </c>
    </row>
    <row r="69" spans="2:15" ht="13" outlineLevel="1" x14ac:dyDescent="0.3">
      <c r="C69" s="7" t="str">
        <f t="shared" si="26"/>
        <v>Total</v>
      </c>
      <c r="D69" s="169" t="s">
        <v>16</v>
      </c>
      <c r="E69" s="169" t="s">
        <v>77</v>
      </c>
      <c r="G69" s="166">
        <f t="shared" ref="G69:O69" si="27">+AVERAGEIF(G61:G68,no_cero)</f>
        <v>100</v>
      </c>
      <c r="H69" s="166">
        <f t="shared" si="27"/>
        <v>108.23445287989044</v>
      </c>
      <c r="I69" s="166">
        <f t="shared" si="27"/>
        <v>108.62253797078745</v>
      </c>
      <c r="J69" s="166">
        <f t="shared" si="27"/>
        <v>106.75547638142589</v>
      </c>
      <c r="K69" s="166">
        <f t="shared" si="27"/>
        <v>98.530458296618633</v>
      </c>
      <c r="L69" s="166">
        <f t="shared" si="27"/>
        <v>96.30583635275228</v>
      </c>
      <c r="M69" s="166">
        <f>+AVERAGEIF(M61:M68,no_cero)</f>
        <v>102.48514979699338</v>
      </c>
      <c r="N69" s="166">
        <f t="shared" si="27"/>
        <v>103.00954892922962</v>
      </c>
      <c r="O69" s="166">
        <f t="shared" si="27"/>
        <v>103.62090065322687</v>
      </c>
    </row>
    <row r="70" spans="2:15" x14ac:dyDescent="0.25">
      <c r="G70" s="8"/>
      <c r="H70" s="8"/>
      <c r="I70" s="8"/>
      <c r="J70" s="8"/>
      <c r="K70" s="8"/>
      <c r="L70" s="8"/>
      <c r="M70" s="8"/>
      <c r="N70" s="8"/>
      <c r="O70" s="8"/>
    </row>
    <row r="71" spans="2:15" ht="13" x14ac:dyDescent="0.3">
      <c r="B71" s="7" t="s">
        <v>117</v>
      </c>
      <c r="G71" s="8"/>
      <c r="H71" s="8"/>
      <c r="I71" s="8"/>
      <c r="J71" s="8"/>
      <c r="K71" s="8"/>
      <c r="L71" s="8"/>
      <c r="M71" s="8"/>
      <c r="N71" s="8"/>
      <c r="O71" s="8"/>
    </row>
    <row r="72" spans="2:15" x14ac:dyDescent="0.25">
      <c r="C72" s="4" t="s">
        <v>137</v>
      </c>
      <c r="D72" s="6" t="s">
        <v>41</v>
      </c>
      <c r="E72" s="6" t="s">
        <v>56</v>
      </c>
      <c r="G72" s="8"/>
      <c r="H72" s="163">
        <f t="shared" ref="H72:O72" si="28">+SUMPRODUCT(H50:H57,G61:G68)</f>
        <v>19818.853820792479</v>
      </c>
      <c r="I72" s="163">
        <f t="shared" si="28"/>
        <v>22934.095334758731</v>
      </c>
      <c r="J72" s="163">
        <f t="shared" si="28"/>
        <v>24122.538927787868</v>
      </c>
      <c r="K72" s="163">
        <f t="shared" si="28"/>
        <v>27543.524203508197</v>
      </c>
      <c r="L72" s="163">
        <f t="shared" si="28"/>
        <v>29585.271793827902</v>
      </c>
      <c r="M72" s="163">
        <f t="shared" si="28"/>
        <v>31939.817573721513</v>
      </c>
      <c r="N72" s="163">
        <f t="shared" si="28"/>
        <v>37718.269262390764</v>
      </c>
      <c r="O72" s="163">
        <f t="shared" si="28"/>
        <v>35024.515453531058</v>
      </c>
    </row>
    <row r="73" spans="2:15" x14ac:dyDescent="0.25">
      <c r="C73" s="4" t="s">
        <v>138</v>
      </c>
      <c r="D73" s="6" t="s">
        <v>41</v>
      </c>
      <c r="E73" s="6" t="s">
        <v>56</v>
      </c>
      <c r="G73" s="8"/>
      <c r="H73" s="163">
        <f>+SUMPRODUCT(G50:G57,G61:G68)</f>
        <v>22530.546180000005</v>
      </c>
      <c r="I73" s="163">
        <f t="shared" ref="I73:O73" si="29">+SUMPRODUCT(H50:H57,H61:H68)</f>
        <v>21450.827999999998</v>
      </c>
      <c r="J73" s="163">
        <f t="shared" si="29"/>
        <v>23016.32775</v>
      </c>
      <c r="K73" s="163">
        <f t="shared" si="29"/>
        <v>23707.90798</v>
      </c>
      <c r="L73" s="163">
        <f t="shared" si="29"/>
        <v>25421.422440000006</v>
      </c>
      <c r="M73" s="163">
        <f t="shared" si="29"/>
        <v>28917.295150000002</v>
      </c>
      <c r="N73" s="163">
        <f t="shared" si="29"/>
        <v>33989.186040000001</v>
      </c>
      <c r="O73" s="163">
        <f t="shared" si="29"/>
        <v>37911.267250000004</v>
      </c>
    </row>
    <row r="74" spans="2:15" x14ac:dyDescent="0.25">
      <c r="C74" s="4" t="s">
        <v>139</v>
      </c>
      <c r="D74" s="6" t="s">
        <v>41</v>
      </c>
      <c r="E74" s="6" t="s">
        <v>56</v>
      </c>
      <c r="G74" s="8"/>
      <c r="H74" s="163">
        <f t="shared" ref="H74:O74" si="30">+SUMPRODUCT(H61:H68,G50:G57)</f>
        <v>24385.813388774051</v>
      </c>
      <c r="I74" s="163">
        <f t="shared" si="30"/>
        <v>21527.74201686517</v>
      </c>
      <c r="J74" s="163">
        <f t="shared" si="30"/>
        <v>22620.710944565588</v>
      </c>
      <c r="K74" s="163">
        <f t="shared" si="30"/>
        <v>21881.322792072591</v>
      </c>
      <c r="L74" s="163">
        <f t="shared" si="30"/>
        <v>24847.457239979594</v>
      </c>
      <c r="M74" s="163">
        <f t="shared" si="30"/>
        <v>30772.728189769008</v>
      </c>
      <c r="N74" s="163">
        <f t="shared" si="30"/>
        <v>34163.102941132485</v>
      </c>
      <c r="O74" s="163">
        <f t="shared" si="30"/>
        <v>38136.266959571883</v>
      </c>
    </row>
    <row r="75" spans="2:15" x14ac:dyDescent="0.25">
      <c r="C75" s="4" t="s">
        <v>140</v>
      </c>
      <c r="D75" s="6" t="s">
        <v>41</v>
      </c>
      <c r="E75" s="6" t="s">
        <v>56</v>
      </c>
      <c r="G75" s="8"/>
      <c r="H75" s="163">
        <f t="shared" ref="H75:O75" si="31">+SUMPRODUCT(G50:G57,G61:G68)</f>
        <v>22530.546180000005</v>
      </c>
      <c r="I75" s="163">
        <f t="shared" si="31"/>
        <v>21450.827999999998</v>
      </c>
      <c r="J75" s="163">
        <f t="shared" si="31"/>
        <v>23016.32775</v>
      </c>
      <c r="K75" s="163">
        <f t="shared" si="31"/>
        <v>23707.90798</v>
      </c>
      <c r="L75" s="163">
        <f t="shared" si="31"/>
        <v>25421.422440000006</v>
      </c>
      <c r="M75" s="163">
        <f t="shared" si="31"/>
        <v>28917.295150000002</v>
      </c>
      <c r="N75" s="163">
        <f t="shared" si="31"/>
        <v>33989.186040000001</v>
      </c>
      <c r="O75" s="163">
        <f t="shared" si="31"/>
        <v>37911.267250000004</v>
      </c>
    </row>
    <row r="76" spans="2:15" x14ac:dyDescent="0.25">
      <c r="G76" s="8"/>
      <c r="H76" s="8"/>
      <c r="I76" s="8"/>
      <c r="J76" s="8"/>
      <c r="K76" s="8"/>
      <c r="L76" s="8"/>
      <c r="M76" s="8"/>
      <c r="N76" s="8"/>
      <c r="O76" s="8"/>
    </row>
    <row r="77" spans="2:15" ht="13" x14ac:dyDescent="0.3">
      <c r="B77" s="7" t="s">
        <v>118</v>
      </c>
      <c r="G77" s="8"/>
      <c r="H77" s="8"/>
      <c r="I77" s="8"/>
      <c r="J77" s="8"/>
      <c r="K77" s="8"/>
      <c r="L77" s="8"/>
      <c r="M77" s="8"/>
      <c r="N77" s="8"/>
      <c r="O77" s="8"/>
    </row>
    <row r="78" spans="2:15" x14ac:dyDescent="0.25">
      <c r="C78" s="4" t="s">
        <v>137</v>
      </c>
      <c r="D78" s="6" t="s">
        <v>41</v>
      </c>
      <c r="E78" s="6" t="s">
        <v>56</v>
      </c>
      <c r="G78" s="8"/>
      <c r="H78" s="163">
        <f t="shared" ref="H78:O78" si="32">+SUMPRODUCT(H61:H68,H50:H57)</f>
        <v>21450.827999999998</v>
      </c>
      <c r="I78" s="163">
        <f t="shared" si="32"/>
        <v>23016.32775</v>
      </c>
      <c r="J78" s="163">
        <f t="shared" si="32"/>
        <v>23707.90798</v>
      </c>
      <c r="K78" s="163">
        <f t="shared" si="32"/>
        <v>25421.422440000006</v>
      </c>
      <c r="L78" s="163">
        <f t="shared" si="32"/>
        <v>28917.295150000002</v>
      </c>
      <c r="M78" s="163">
        <f t="shared" si="32"/>
        <v>33989.186040000001</v>
      </c>
      <c r="N78" s="163">
        <f t="shared" si="32"/>
        <v>37911.267250000004</v>
      </c>
      <c r="O78" s="163">
        <f t="shared" si="32"/>
        <v>35232.382570000002</v>
      </c>
    </row>
    <row r="79" spans="2:15" x14ac:dyDescent="0.25">
      <c r="C79" s="4" t="s">
        <v>138</v>
      </c>
      <c r="D79" s="6" t="s">
        <v>41</v>
      </c>
      <c r="E79" s="6" t="s">
        <v>56</v>
      </c>
      <c r="G79" s="8"/>
      <c r="H79" s="163">
        <f t="shared" ref="H79:O79" si="33">+SUMPRODUCT(H61:H68,G50:G57)</f>
        <v>24385.813388774051</v>
      </c>
      <c r="I79" s="163">
        <f t="shared" si="33"/>
        <v>21527.74201686517</v>
      </c>
      <c r="J79" s="163">
        <f t="shared" si="33"/>
        <v>22620.710944565588</v>
      </c>
      <c r="K79" s="163">
        <f t="shared" si="33"/>
        <v>21881.322792072591</v>
      </c>
      <c r="L79" s="163">
        <f t="shared" si="33"/>
        <v>24847.457239979594</v>
      </c>
      <c r="M79" s="163">
        <f t="shared" si="33"/>
        <v>30772.728189769008</v>
      </c>
      <c r="N79" s="163">
        <f t="shared" si="33"/>
        <v>34163.102941132485</v>
      </c>
      <c r="O79" s="163">
        <f t="shared" si="33"/>
        <v>38136.266959571883</v>
      </c>
    </row>
    <row r="80" spans="2:15" x14ac:dyDescent="0.25">
      <c r="C80" s="4" t="s">
        <v>139</v>
      </c>
      <c r="D80" s="6" t="s">
        <v>41</v>
      </c>
      <c r="E80" s="6" t="s">
        <v>56</v>
      </c>
      <c r="G80" s="8"/>
      <c r="H80" s="163">
        <f t="shared" ref="H80:O80" si="34">+SUMPRODUCT(H61:H68,H50:H57)</f>
        <v>21450.827999999998</v>
      </c>
      <c r="I80" s="163">
        <f t="shared" si="34"/>
        <v>23016.32775</v>
      </c>
      <c r="J80" s="163">
        <f t="shared" si="34"/>
        <v>23707.90798</v>
      </c>
      <c r="K80" s="163">
        <f t="shared" si="34"/>
        <v>25421.422440000006</v>
      </c>
      <c r="L80" s="163">
        <f t="shared" si="34"/>
        <v>28917.295150000002</v>
      </c>
      <c r="M80" s="163">
        <f t="shared" si="34"/>
        <v>33989.186040000001</v>
      </c>
      <c r="N80" s="163">
        <f t="shared" si="34"/>
        <v>37911.267250000004</v>
      </c>
      <c r="O80" s="163">
        <f t="shared" si="34"/>
        <v>35232.382570000002</v>
      </c>
    </row>
    <row r="81" spans="2:15" x14ac:dyDescent="0.25">
      <c r="C81" s="4" t="s">
        <v>140</v>
      </c>
      <c r="D81" s="6" t="s">
        <v>41</v>
      </c>
      <c r="E81" s="6" t="s">
        <v>56</v>
      </c>
      <c r="G81" s="8"/>
      <c r="H81" s="8">
        <f t="shared" ref="H81:O81" si="35">+SUMPRODUCT(G61:G68,H50:H57)</f>
        <v>19818.853820792479</v>
      </c>
      <c r="I81" s="8">
        <f t="shared" si="35"/>
        <v>22934.095334758731</v>
      </c>
      <c r="J81" s="8">
        <f t="shared" si="35"/>
        <v>24122.538927787868</v>
      </c>
      <c r="K81" s="8">
        <f t="shared" si="35"/>
        <v>27543.524203508197</v>
      </c>
      <c r="L81" s="8">
        <f t="shared" si="35"/>
        <v>29585.271793827902</v>
      </c>
      <c r="M81" s="8">
        <f t="shared" si="35"/>
        <v>31939.817573721513</v>
      </c>
      <c r="N81" s="8">
        <f t="shared" si="35"/>
        <v>37718.269262390764</v>
      </c>
      <c r="O81" s="8">
        <f t="shared" si="35"/>
        <v>35024.515453531058</v>
      </c>
    </row>
    <row r="82" spans="2:15" x14ac:dyDescent="0.25">
      <c r="G82" s="8"/>
      <c r="H82" s="8"/>
      <c r="I82" s="8"/>
      <c r="J82" s="8"/>
      <c r="K82" s="8"/>
      <c r="L82" s="8"/>
      <c r="M82" s="8"/>
      <c r="N82" s="8"/>
      <c r="O82" s="8"/>
    </row>
    <row r="83" spans="2:15" ht="13" x14ac:dyDescent="0.3">
      <c r="B83" s="3" t="s">
        <v>146</v>
      </c>
      <c r="C83" s="1"/>
      <c r="D83" s="2"/>
      <c r="E83" s="2"/>
      <c r="F83" s="1"/>
      <c r="G83" s="146"/>
      <c r="H83" s="146"/>
      <c r="I83" s="146"/>
      <c r="J83" s="146"/>
      <c r="K83" s="146"/>
      <c r="L83" s="146"/>
      <c r="M83" s="146"/>
      <c r="N83" s="146"/>
      <c r="O83" s="146"/>
    </row>
    <row r="84" spans="2:15" x14ac:dyDescent="0.25">
      <c r="G84" s="8"/>
      <c r="H84" s="8"/>
      <c r="I84" s="8"/>
      <c r="J84" s="8"/>
      <c r="K84" s="8"/>
      <c r="L84" s="8"/>
      <c r="M84" s="8"/>
      <c r="N84" s="8"/>
      <c r="O84" s="8"/>
    </row>
    <row r="85" spans="2:15" ht="13" x14ac:dyDescent="0.3">
      <c r="B85" s="7" t="s">
        <v>117</v>
      </c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25">
      <c r="C86" s="4" t="s">
        <v>141</v>
      </c>
      <c r="D86" s="6" t="s">
        <v>41</v>
      </c>
      <c r="E86" s="6" t="s">
        <v>56</v>
      </c>
      <c r="G86" s="8"/>
      <c r="H86" s="163">
        <f>+SUMPRODUCT('Precios de capital'!H189:H353,'Cantidades de capital'!I871:I1035)</f>
        <v>11978.357716103719</v>
      </c>
      <c r="I86" s="163">
        <f>+SUMPRODUCT('Precios de capital'!I189:I353,'Cantidades de capital'!J871:J1035)</f>
        <v>15510.489109914331</v>
      </c>
      <c r="J86" s="163">
        <f>+SUMPRODUCT('Precios de capital'!J189:J353,'Cantidades de capital'!K871:K1035)</f>
        <v>23392.757818743554</v>
      </c>
      <c r="K86" s="163">
        <f>+SUMPRODUCT('Precios de capital'!K189:K353,'Cantidades de capital'!L871:L1035)</f>
        <v>62492.8586559299</v>
      </c>
      <c r="L86" s="163">
        <f>+SUMPRODUCT('Precios de capital'!L189:L353,'Cantidades de capital'!M871:M1035)</f>
        <v>157059.43057407302</v>
      </c>
      <c r="M86" s="163">
        <f>+SUMPRODUCT('Precios de capital'!M189:M353,'Cantidades de capital'!N871:N1035)</f>
        <v>117261.87414546934</v>
      </c>
      <c r="N86" s="163">
        <f>+SUMPRODUCT('Precios de capital'!N189:N353,'Cantidades de capital'!O871:O1035)</f>
        <v>62574.09689494456</v>
      </c>
      <c r="O86" s="163">
        <f>+SUMPRODUCT('Precios de capital'!O189:O353,'Cantidades de capital'!P871:P1035)</f>
        <v>73146.472368869378</v>
      </c>
    </row>
    <row r="87" spans="2:15" x14ac:dyDescent="0.25">
      <c r="C87" s="4" t="s">
        <v>142</v>
      </c>
      <c r="D87" s="6" t="s">
        <v>41</v>
      </c>
      <c r="E87" s="6" t="s">
        <v>56</v>
      </c>
      <c r="G87" s="8"/>
      <c r="H87" s="163">
        <f>+SUMPRODUCT('Precios de capital'!H189:H353,'Cantidades de capital'!H871:H1035)</f>
        <v>11615.064485474932</v>
      </c>
      <c r="I87" s="163">
        <f>+SUMPRODUCT('Precios de capital'!I189:I353,'Cantidades de capital'!I871:I1035)</f>
        <v>12589.394834258881</v>
      </c>
      <c r="J87" s="163">
        <f>+SUMPRODUCT('Precios de capital'!J189:J353,'Cantidades de capital'!J871:J1035)</f>
        <v>21038.291006509182</v>
      </c>
      <c r="K87" s="163">
        <f>+SUMPRODUCT('Precios de capital'!K189:K353,'Cantidades de capital'!K871:K1035)</f>
        <v>23636.678573325822</v>
      </c>
      <c r="L87" s="163">
        <f>+SUMPRODUCT('Precios de capital'!L189:L353,'Cantidades de capital'!L871:L1035)</f>
        <v>72412.234315519396</v>
      </c>
      <c r="M87" s="163">
        <f>+SUMPRODUCT('Precios de capital'!M189:M353,'Cantidades de capital'!M871:M1035)</f>
        <v>118988.68317098962</v>
      </c>
      <c r="N87" s="163">
        <f>+SUMPRODUCT('Precios de capital'!N189:N353,'Cantidades de capital'!N871:N1035)</f>
        <v>70542.048877286419</v>
      </c>
      <c r="O87" s="163">
        <f>+SUMPRODUCT('Precios de capital'!O189:O353,'Cantidades de capital'!O871:O1035)</f>
        <v>79304.925557843337</v>
      </c>
    </row>
    <row r="88" spans="2:15" x14ac:dyDescent="0.25">
      <c r="C88" s="4" t="s">
        <v>143</v>
      </c>
      <c r="D88" s="6" t="s">
        <v>41</v>
      </c>
      <c r="E88" s="6" t="s">
        <v>56</v>
      </c>
      <c r="G88" s="8"/>
      <c r="H88" s="163">
        <f>+SUMPRODUCT('Precios de capital'!I189:I353,'Cantidades de capital'!H871:H1035)</f>
        <v>12159.484671250199</v>
      </c>
      <c r="I88" s="163">
        <f>+SUMPRODUCT('Precios de capital'!J189:J353,'Cantidades de capital'!I871:I1035)</f>
        <v>17356.595316388524</v>
      </c>
      <c r="J88" s="163">
        <f>+SUMPRODUCT('Precios de capital'!K189:K353,'Cantidades de capital'!J871:J1035)</f>
        <v>21286.486863248883</v>
      </c>
      <c r="K88" s="163">
        <f>+SUMPRODUCT('Precios de capital'!L189:L353,'Cantidades de capital'!K871:K1035)</f>
        <v>26729.652292638653</v>
      </c>
      <c r="L88" s="163">
        <f>+SUMPRODUCT('Precios de capital'!M189:M353,'Cantidades de capital'!L871:L1035)</f>
        <v>57311.250354211094</v>
      </c>
      <c r="M88" s="163">
        <f>+SUMPRODUCT('Precios de capital'!N189:N353,'Cantidades de capital'!M871:M1035)</f>
        <v>71812.350390186664</v>
      </c>
      <c r="N88" s="163">
        <f>+SUMPRODUCT('Precios de capital'!O189:O353,'Cantidades de capital'!N871:N1035)</f>
        <v>88893.037843963539</v>
      </c>
      <c r="O88" s="163">
        <f>+SUMPRODUCT('Precios de capital'!P189:P353,'Cantidades de capital'!O871:O1035)</f>
        <v>99466.719408435791</v>
      </c>
    </row>
    <row r="89" spans="2:15" x14ac:dyDescent="0.25">
      <c r="C89" s="4" t="s">
        <v>144</v>
      </c>
      <c r="D89" s="6" t="s">
        <v>41</v>
      </c>
      <c r="E89" s="6" t="s">
        <v>56</v>
      </c>
      <c r="G89" s="8"/>
      <c r="H89" s="163">
        <f>+SUMPRODUCT('Precios de capital'!H189:H353,'Cantidades de capital'!H871:H1035)</f>
        <v>11615.064485474932</v>
      </c>
      <c r="I89" s="163">
        <f>+SUMPRODUCT('Precios de capital'!I189:I353,'Cantidades de capital'!I871:I1035)</f>
        <v>12589.394834258881</v>
      </c>
      <c r="J89" s="163">
        <f>+SUMPRODUCT('Precios de capital'!J189:J353,'Cantidades de capital'!J871:J1035)</f>
        <v>21038.291006509182</v>
      </c>
      <c r="K89" s="163">
        <f>+SUMPRODUCT('Precios de capital'!K189:K353,'Cantidades de capital'!K871:K1035)</f>
        <v>23636.678573325822</v>
      </c>
      <c r="L89" s="163">
        <f>+SUMPRODUCT('Precios de capital'!L189:L353,'Cantidades de capital'!L871:L1035)</f>
        <v>72412.234315519396</v>
      </c>
      <c r="M89" s="163">
        <f>+SUMPRODUCT('Precios de capital'!M189:M353,'Cantidades de capital'!M871:M1035)</f>
        <v>118988.68317098962</v>
      </c>
      <c r="N89" s="163">
        <f>+SUMPRODUCT('Precios de capital'!N189:N353,'Cantidades de capital'!N871:N1035)</f>
        <v>70542.048877286419</v>
      </c>
      <c r="O89" s="163">
        <f>+SUMPRODUCT('Precios de capital'!O189:O353,'Cantidades de capital'!O871:O1035)</f>
        <v>79304.925557843337</v>
      </c>
    </row>
    <row r="90" spans="2:15" x14ac:dyDescent="0.25">
      <c r="G90" s="8"/>
      <c r="H90" s="8"/>
      <c r="I90" s="8"/>
      <c r="J90" s="8"/>
      <c r="K90" s="8"/>
      <c r="L90" s="8"/>
      <c r="M90" s="8"/>
      <c r="N90" s="8"/>
      <c r="O90" s="8"/>
    </row>
    <row r="91" spans="2:15" ht="13" x14ac:dyDescent="0.3">
      <c r="B91" s="7" t="s">
        <v>118</v>
      </c>
      <c r="G91" s="8"/>
      <c r="H91" s="8"/>
      <c r="I91" s="8"/>
      <c r="J91" s="8"/>
      <c r="K91" s="8"/>
      <c r="L91" s="8"/>
      <c r="M91" s="8"/>
      <c r="N91" s="8"/>
      <c r="O91" s="8"/>
    </row>
    <row r="92" spans="2:15" x14ac:dyDescent="0.25">
      <c r="C92" s="4" t="s">
        <v>141</v>
      </c>
      <c r="D92" s="6" t="s">
        <v>41</v>
      </c>
      <c r="E92" s="6" t="s">
        <v>56</v>
      </c>
      <c r="G92" s="8"/>
      <c r="H92" s="163">
        <f>+SUMPRODUCT('Precios de capital'!I189:I353,'Cantidades de capital'!I871:I1035)</f>
        <v>12589.394834258881</v>
      </c>
      <c r="I92" s="163">
        <f>+SUMPRODUCT('Precios de capital'!J189:J353,'Cantidades de capital'!J871:J1035)</f>
        <v>21038.291006509182</v>
      </c>
      <c r="J92" s="163">
        <f>+SUMPRODUCT('Precios de capital'!K189:K353,'Cantidades de capital'!K871:K1035)</f>
        <v>23636.678573325822</v>
      </c>
      <c r="K92" s="163">
        <f>+SUMPRODUCT('Precios de capital'!L189:L353,'Cantidades de capital'!L871:L1035)</f>
        <v>72412.234315519396</v>
      </c>
      <c r="L92" s="163">
        <f>+SUMPRODUCT('Precios de capital'!M189:M353,'Cantidades de capital'!M871:M1035)</f>
        <v>118988.68317098962</v>
      </c>
      <c r="M92" s="163">
        <f>+SUMPRODUCT('Precios de capital'!N189:N353,'Cantidades de capital'!N871:N1035)</f>
        <v>70542.048877286419</v>
      </c>
      <c r="N92" s="163">
        <f>+SUMPRODUCT('Precios de capital'!O189:O353,'Cantidades de capital'!O871:O1035)</f>
        <v>79304.925557843337</v>
      </c>
      <c r="O92" s="163">
        <f>+SUMPRODUCT('Precios de capital'!P189:P353,'Cantidades de capital'!P871:P1035)</f>
        <v>92174.182244475451</v>
      </c>
    </row>
    <row r="93" spans="2:15" x14ac:dyDescent="0.25">
      <c r="C93" s="4" t="s">
        <v>142</v>
      </c>
      <c r="D93" s="6" t="s">
        <v>41</v>
      </c>
      <c r="E93" s="6" t="s">
        <v>56</v>
      </c>
      <c r="G93" s="8"/>
      <c r="H93" s="163">
        <f>+SUMPRODUCT('Precios de capital'!I189:I353,'Cantidades de capital'!H871:H1035)</f>
        <v>12159.484671250199</v>
      </c>
      <c r="I93" s="163">
        <f>+SUMPRODUCT('Precios de capital'!J189:J353,'Cantidades de capital'!I871:I1035)</f>
        <v>17356.595316388524</v>
      </c>
      <c r="J93" s="163">
        <f>+SUMPRODUCT('Precios de capital'!K189:K353,'Cantidades de capital'!J871:J1035)</f>
        <v>21286.486863248883</v>
      </c>
      <c r="K93" s="163">
        <f>+SUMPRODUCT('Precios de capital'!L189:L353,'Cantidades de capital'!K871:K1035)</f>
        <v>26729.652292638653</v>
      </c>
      <c r="L93" s="163">
        <f>+SUMPRODUCT('Precios de capital'!M189:M353,'Cantidades de capital'!L871:L1035)</f>
        <v>57311.250354211094</v>
      </c>
      <c r="M93" s="163">
        <f>+SUMPRODUCT('Precios de capital'!N189:N353,'Cantidades de capital'!M871:M1035)</f>
        <v>71812.350390186664</v>
      </c>
      <c r="N93" s="163">
        <f>+SUMPRODUCT('Precios de capital'!O189:O353,'Cantidades de capital'!N871:N1035)</f>
        <v>88893.037843963539</v>
      </c>
      <c r="O93" s="163">
        <f>+SUMPRODUCT('Precios de capital'!P189:P353,'Cantidades de capital'!O871:O1035)</f>
        <v>99466.719408435791</v>
      </c>
    </row>
    <row r="94" spans="2:15" x14ac:dyDescent="0.25">
      <c r="C94" s="4" t="s">
        <v>143</v>
      </c>
      <c r="D94" s="6" t="s">
        <v>41</v>
      </c>
      <c r="E94" s="6" t="s">
        <v>56</v>
      </c>
      <c r="G94" s="8"/>
      <c r="H94" s="163">
        <f>+SUMPRODUCT('Precios de capital'!I189:I353,'Cantidades de capital'!I871:I1035)</f>
        <v>12589.394834258881</v>
      </c>
      <c r="I94" s="163">
        <f>+SUMPRODUCT('Precios de capital'!J189:J353,'Cantidades de capital'!J871:J1035)</f>
        <v>21038.291006509182</v>
      </c>
      <c r="J94" s="163">
        <f>+SUMPRODUCT('Precios de capital'!K189:K353,'Cantidades de capital'!K871:K1035)</f>
        <v>23636.678573325822</v>
      </c>
      <c r="K94" s="163">
        <f>+SUMPRODUCT('Precios de capital'!L189:L353,'Cantidades de capital'!L871:L1035)</f>
        <v>72412.234315519396</v>
      </c>
      <c r="L94" s="163">
        <f>+SUMPRODUCT('Precios de capital'!M189:M353,'Cantidades de capital'!M871:M1035)</f>
        <v>118988.68317098962</v>
      </c>
      <c r="M94" s="163">
        <f>+SUMPRODUCT('Precios de capital'!N189:N353,'Cantidades de capital'!N871:N1035)</f>
        <v>70542.048877286419</v>
      </c>
      <c r="N94" s="163">
        <f>+SUMPRODUCT('Precios de capital'!O189:O353,'Cantidades de capital'!O871:O1035)</f>
        <v>79304.925557843337</v>
      </c>
      <c r="O94" s="163">
        <f>+SUMPRODUCT('Precios de capital'!P189:P353,'Cantidades de capital'!P871:P1035)</f>
        <v>92174.182244475451</v>
      </c>
    </row>
    <row r="95" spans="2:15" x14ac:dyDescent="0.25">
      <c r="C95" s="4" t="s">
        <v>144</v>
      </c>
      <c r="D95" s="6" t="s">
        <v>41</v>
      </c>
      <c r="E95" s="6" t="s">
        <v>56</v>
      </c>
      <c r="G95" s="8"/>
      <c r="H95" s="163">
        <f>+SUMPRODUCT('Precios de capital'!H189:H353,'Cantidades de capital'!I871:I1035)</f>
        <v>11978.357716103719</v>
      </c>
      <c r="I95" s="163">
        <f>+SUMPRODUCT('Precios de capital'!I189:I353,'Cantidades de capital'!J871:J1035)</f>
        <v>15510.489109914331</v>
      </c>
      <c r="J95" s="163">
        <f>+SUMPRODUCT('Precios de capital'!J189:J353,'Cantidades de capital'!K871:K1035)</f>
        <v>23392.757818743554</v>
      </c>
      <c r="K95" s="163">
        <f>+SUMPRODUCT('Precios de capital'!K189:K353,'Cantidades de capital'!L871:L1035)</f>
        <v>62492.8586559299</v>
      </c>
      <c r="L95" s="163">
        <f>+SUMPRODUCT('Precios de capital'!L189:L353,'Cantidades de capital'!M871:M1035)</f>
        <v>157059.43057407302</v>
      </c>
      <c r="M95" s="163">
        <f>+SUMPRODUCT('Precios de capital'!M189:M353,'Cantidades de capital'!N871:N1035)</f>
        <v>117261.87414546934</v>
      </c>
      <c r="N95" s="163">
        <f>+SUMPRODUCT('Precios de capital'!N189:N353,'Cantidades de capital'!O871:O1035)</f>
        <v>62574.09689494456</v>
      </c>
      <c r="O95" s="163">
        <f>+SUMPRODUCT('Precios de capital'!O189:O353,'Cantidades de capital'!P871:P1035)</f>
        <v>73146.472368869378</v>
      </c>
    </row>
    <row r="97" spans="2:15" ht="13" x14ac:dyDescent="0.3">
      <c r="B97" s="24" t="s">
        <v>147</v>
      </c>
      <c r="C97" s="16"/>
      <c r="D97" s="73"/>
      <c r="E97" s="73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9" spans="2:15" ht="13" x14ac:dyDescent="0.3">
      <c r="B99" s="7" t="s">
        <v>243</v>
      </c>
      <c r="C99" s="7"/>
    </row>
    <row r="100" spans="2:15" x14ac:dyDescent="0.25">
      <c r="B100" s="25"/>
      <c r="C100" s="25" t="s">
        <v>148</v>
      </c>
      <c r="D100" s="6" t="s">
        <v>41</v>
      </c>
      <c r="E100" s="10" t="s">
        <v>77</v>
      </c>
      <c r="H100" s="197">
        <f>+H25/H26</f>
        <v>1.1063473954839089</v>
      </c>
      <c r="I100" s="197">
        <f t="shared" ref="I100:O100" si="36">+I25/I26</f>
        <v>1.1330237637211311</v>
      </c>
      <c r="J100" s="198">
        <f t="shared" si="36"/>
        <v>0.98926441808092136</v>
      </c>
      <c r="K100" s="197">
        <f t="shared" si="36"/>
        <v>1.0530795509038486</v>
      </c>
      <c r="L100" s="197">
        <f t="shared" si="36"/>
        <v>1.0846223524414216</v>
      </c>
      <c r="M100" s="197">
        <f t="shared" si="36"/>
        <v>1.0165379417637455</v>
      </c>
      <c r="N100" s="197">
        <f t="shared" si="36"/>
        <v>1.0255457759782662</v>
      </c>
      <c r="O100" s="197">
        <f t="shared" si="36"/>
        <v>0.98561459051881439</v>
      </c>
    </row>
    <row r="101" spans="2:15" x14ac:dyDescent="0.25">
      <c r="B101" s="25"/>
      <c r="C101" s="25" t="s">
        <v>150</v>
      </c>
      <c r="D101" s="6" t="s">
        <v>41</v>
      </c>
      <c r="E101" s="10" t="s">
        <v>77</v>
      </c>
      <c r="H101" s="197">
        <f>+H31/H32</f>
        <v>1.109081976844307</v>
      </c>
      <c r="I101" s="197">
        <f t="shared" ref="I101:O101" si="37">+I31/I32</f>
        <v>1.1228139176383189</v>
      </c>
      <c r="J101" s="197">
        <f t="shared" si="37"/>
        <v>0.93822187931866807</v>
      </c>
      <c r="K101" s="197">
        <f t="shared" si="37"/>
        <v>1.0473410823720852</v>
      </c>
      <c r="L101" s="197">
        <f t="shared" si="37"/>
        <v>1.0769036506870049</v>
      </c>
      <c r="M101" s="197">
        <f t="shared" si="37"/>
        <v>1.0154837898879114</v>
      </c>
      <c r="N101" s="197">
        <f t="shared" si="37"/>
        <v>1.0251058401881119</v>
      </c>
      <c r="O101" s="197">
        <f t="shared" si="37"/>
        <v>0.98599269733930939</v>
      </c>
    </row>
    <row r="102" spans="2:15" x14ac:dyDescent="0.25">
      <c r="B102" s="25"/>
      <c r="C102" s="25" t="s">
        <v>151</v>
      </c>
      <c r="D102" s="6" t="s">
        <v>41</v>
      </c>
      <c r="E102" s="10" t="s">
        <v>77</v>
      </c>
      <c r="H102" s="197">
        <f>SQRT(H100*H101)</f>
        <v>1.1077138423166173</v>
      </c>
      <c r="I102" s="197">
        <f t="shared" ref="I102:O102" si="38">SQRT(I100*I101)</f>
        <v>1.1279072882648804</v>
      </c>
      <c r="J102" s="197">
        <f t="shared" si="38"/>
        <v>0.96340516994407432</v>
      </c>
      <c r="K102" s="197">
        <f t="shared" si="38"/>
        <v>1.0502063971751201</v>
      </c>
      <c r="L102" s="197">
        <f t="shared" si="38"/>
        <v>1.0807561107673156</v>
      </c>
      <c r="M102" s="197">
        <f t="shared" si="38"/>
        <v>1.016010729110232</v>
      </c>
      <c r="N102" s="197">
        <f t="shared" si="38"/>
        <v>1.025325784487823</v>
      </c>
      <c r="O102" s="197">
        <f t="shared" si="38"/>
        <v>0.98580362580111502</v>
      </c>
    </row>
    <row r="103" spans="2:15" ht="13" x14ac:dyDescent="0.3">
      <c r="B103" s="25"/>
      <c r="C103" s="185" t="s">
        <v>152</v>
      </c>
      <c r="D103" s="190" t="s">
        <v>41</v>
      </c>
      <c r="E103" s="189" t="s">
        <v>39</v>
      </c>
      <c r="F103" s="188"/>
      <c r="G103" s="186"/>
      <c r="H103" s="187">
        <f>LN(H102)</f>
        <v>0.10229828991172429</v>
      </c>
      <c r="I103" s="187">
        <f>LN(I102)</f>
        <v>0.12036395844344225</v>
      </c>
      <c r="J103" s="187">
        <f t="shared" ref="J103:O103" si="39">LN(J102)</f>
        <v>-3.7281218447836752E-2</v>
      </c>
      <c r="K103" s="187">
        <f t="shared" si="39"/>
        <v>4.8986713590538584E-2</v>
      </c>
      <c r="L103" s="187">
        <f t="shared" si="39"/>
        <v>7.7660898740982254E-2</v>
      </c>
      <c r="M103" s="187">
        <f t="shared" si="39"/>
        <v>1.5883909248398369E-2</v>
      </c>
      <c r="N103" s="187">
        <f t="shared" si="39"/>
        <v>2.5010400615113212E-2</v>
      </c>
      <c r="O103" s="187">
        <f t="shared" si="39"/>
        <v>-1.4298106688494936E-2</v>
      </c>
    </row>
    <row r="104" spans="2:15" x14ac:dyDescent="0.25">
      <c r="B104" s="25"/>
      <c r="C104" s="25"/>
      <c r="H104" s="193"/>
      <c r="I104" s="193"/>
      <c r="J104" s="193"/>
      <c r="K104" s="194"/>
      <c r="L104" s="194"/>
      <c r="M104" s="194"/>
      <c r="N104" s="194"/>
      <c r="O104" s="194"/>
    </row>
    <row r="105" spans="2:15" ht="13" x14ac:dyDescent="0.3">
      <c r="B105" s="7" t="s">
        <v>244</v>
      </c>
      <c r="C105" s="7"/>
      <c r="H105" s="8"/>
      <c r="I105" s="8"/>
      <c r="J105" s="8"/>
      <c r="K105" s="8"/>
      <c r="L105" s="8"/>
      <c r="M105" s="8"/>
      <c r="N105" s="8"/>
      <c r="O105" s="8"/>
    </row>
    <row r="106" spans="2:15" x14ac:dyDescent="0.25">
      <c r="C106" s="25" t="s">
        <v>153</v>
      </c>
      <c r="D106" s="6" t="s">
        <v>41</v>
      </c>
      <c r="E106" s="10" t="s">
        <v>77</v>
      </c>
      <c r="H106" s="197">
        <f t="shared" ref="H106:O106" si="40">+H27/H28</f>
        <v>0.98683671145516871</v>
      </c>
      <c r="I106" s="197">
        <f t="shared" si="40"/>
        <v>0.89514766509617893</v>
      </c>
      <c r="J106" s="197">
        <f t="shared" si="40"/>
        <v>1.1019511673070546</v>
      </c>
      <c r="K106" s="197">
        <f t="shared" si="40"/>
        <v>0.95113220001342447</v>
      </c>
      <c r="L106" s="197">
        <f t="shared" si="40"/>
        <v>0.93073787391756202</v>
      </c>
      <c r="M106" s="197">
        <f t="shared" si="40"/>
        <v>1.0558765714319278</v>
      </c>
      <c r="N106" s="197">
        <f t="shared" si="40"/>
        <v>1.0416596734906933</v>
      </c>
      <c r="O106" s="197">
        <f t="shared" si="40"/>
        <v>1.036116333227534</v>
      </c>
    </row>
    <row r="107" spans="2:15" x14ac:dyDescent="0.25">
      <c r="C107" s="25" t="s">
        <v>154</v>
      </c>
      <c r="D107" s="6" t="s">
        <v>41</v>
      </c>
      <c r="E107" s="10" t="s">
        <v>77</v>
      </c>
      <c r="H107" s="197">
        <f t="shared" ref="H107:O107" si="41">+H33/H34</f>
        <v>0.98927589582701936</v>
      </c>
      <c r="I107" s="197">
        <f t="shared" si="41"/>
        <v>0.88708135600835814</v>
      </c>
      <c r="J107" s="197">
        <f t="shared" si="41"/>
        <v>1.0450943915620086</v>
      </c>
      <c r="K107" s="197">
        <f t="shared" si="41"/>
        <v>0.94594926564285464</v>
      </c>
      <c r="L107" s="197">
        <f t="shared" si="41"/>
        <v>0.92411428917939153</v>
      </c>
      <c r="M107" s="197">
        <f t="shared" si="41"/>
        <v>1.0547816253185609</v>
      </c>
      <c r="N107" s="197">
        <f t="shared" si="41"/>
        <v>1.0412128252053576</v>
      </c>
      <c r="O107" s="197">
        <f t="shared" si="41"/>
        <v>1.0365138138007604</v>
      </c>
    </row>
    <row r="108" spans="2:15" x14ac:dyDescent="0.25">
      <c r="C108" s="25" t="s">
        <v>155</v>
      </c>
      <c r="D108" s="6" t="s">
        <v>41</v>
      </c>
      <c r="E108" s="10" t="s">
        <v>77</v>
      </c>
      <c r="H108" s="197">
        <f t="shared" ref="H108:O108" si="42">SQRT(H106*H107)</f>
        <v>0.98805555094832698</v>
      </c>
      <c r="I108" s="197">
        <f t="shared" si="42"/>
        <v>0.89110538354407565</v>
      </c>
      <c r="J108" s="197">
        <f t="shared" si="42"/>
        <v>1.0731463016419576</v>
      </c>
      <c r="K108" s="197">
        <f t="shared" si="42"/>
        <v>0.94853719280372539</v>
      </c>
      <c r="L108" s="197">
        <f t="shared" si="42"/>
        <v>0.9274201684067831</v>
      </c>
      <c r="M108" s="197">
        <f t="shared" si="42"/>
        <v>1.0553289563689412</v>
      </c>
      <c r="N108" s="197">
        <f t="shared" si="42"/>
        <v>1.0414362253819172</v>
      </c>
      <c r="O108" s="197">
        <f t="shared" si="42"/>
        <v>1.0363150544573454</v>
      </c>
    </row>
    <row r="109" spans="2:15" ht="13" x14ac:dyDescent="0.3">
      <c r="B109" s="191"/>
      <c r="C109" s="185" t="s">
        <v>156</v>
      </c>
      <c r="D109" s="190" t="s">
        <v>41</v>
      </c>
      <c r="E109" s="189" t="s">
        <v>39</v>
      </c>
      <c r="F109" s="188"/>
      <c r="G109" s="186"/>
      <c r="H109" s="192">
        <f>LN(H108)</f>
        <v>-1.2016357158670804E-2</v>
      </c>
      <c r="I109" s="192">
        <f t="shared" ref="I109:O109" si="43">LN(I108)</f>
        <v>-0.1152925829227565</v>
      </c>
      <c r="J109" s="192">
        <f t="shared" si="43"/>
        <v>7.0594802575755955E-2</v>
      </c>
      <c r="K109" s="192">
        <f t="shared" si="43"/>
        <v>-5.2834278142083448E-2</v>
      </c>
      <c r="L109" s="192">
        <f t="shared" si="43"/>
        <v>-7.5348560003553278E-2</v>
      </c>
      <c r="M109" s="192">
        <f t="shared" si="43"/>
        <v>5.385252531111296E-2</v>
      </c>
      <c r="N109" s="192">
        <f t="shared" si="43"/>
        <v>4.0600746413338135E-2</v>
      </c>
      <c r="O109" s="192">
        <f t="shared" si="43"/>
        <v>3.5671204225305245E-2</v>
      </c>
    </row>
    <row r="110" spans="2:15" x14ac:dyDescent="0.25">
      <c r="B110" s="25"/>
      <c r="C110" s="25"/>
      <c r="H110" s="193"/>
      <c r="I110" s="193"/>
      <c r="J110" s="193"/>
      <c r="K110" s="194"/>
      <c r="L110" s="194"/>
      <c r="M110" s="194"/>
      <c r="N110" s="194"/>
      <c r="O110" s="194"/>
    </row>
    <row r="111" spans="2:15" ht="13" x14ac:dyDescent="0.3">
      <c r="B111" s="7" t="s">
        <v>157</v>
      </c>
      <c r="C111" s="7"/>
      <c r="H111" s="8"/>
      <c r="I111" s="8"/>
      <c r="J111" s="8"/>
      <c r="K111" s="8"/>
      <c r="L111" s="8"/>
      <c r="M111" s="8"/>
      <c r="N111" s="8"/>
      <c r="O111" s="8"/>
    </row>
    <row r="112" spans="2:15" x14ac:dyDescent="0.25">
      <c r="C112" s="25" t="s">
        <v>158</v>
      </c>
      <c r="D112" s="6" t="s">
        <v>41</v>
      </c>
      <c r="E112" s="10" t="s">
        <v>77</v>
      </c>
      <c r="H112" s="197">
        <f t="shared" ref="H112:O112" si="44">+H72/H73</f>
        <v>0.87964373621733816</v>
      </c>
      <c r="I112" s="197">
        <f t="shared" si="44"/>
        <v>1.0691473231130628</v>
      </c>
      <c r="J112" s="197">
        <f t="shared" si="44"/>
        <v>1.0480620188330376</v>
      </c>
      <c r="K112" s="197">
        <f t="shared" si="44"/>
        <v>1.1617863637206591</v>
      </c>
      <c r="L112" s="197">
        <f t="shared" si="44"/>
        <v>1.1637929334464061</v>
      </c>
      <c r="M112" s="197">
        <f t="shared" si="44"/>
        <v>1.10452299940375</v>
      </c>
      <c r="N112" s="197">
        <f t="shared" si="44"/>
        <v>1.1097138136230216</v>
      </c>
      <c r="O112" s="197">
        <f t="shared" si="44"/>
        <v>0.92385504347737291</v>
      </c>
    </row>
    <row r="113" spans="2:15" x14ac:dyDescent="0.25">
      <c r="C113" s="25" t="s">
        <v>159</v>
      </c>
      <c r="D113" s="6" t="s">
        <v>41</v>
      </c>
      <c r="E113" s="10" t="s">
        <v>77</v>
      </c>
      <c r="H113" s="197">
        <f t="shared" ref="H113:O113" si="45">+H78/H79</f>
        <v>0.87964373621733827</v>
      </c>
      <c r="I113" s="197">
        <f t="shared" si="45"/>
        <v>1.0691473231130626</v>
      </c>
      <c r="J113" s="197">
        <f t="shared" si="45"/>
        <v>1.0480620188330376</v>
      </c>
      <c r="K113" s="197">
        <f t="shared" si="45"/>
        <v>1.1617863637206596</v>
      </c>
      <c r="L113" s="197">
        <f t="shared" si="45"/>
        <v>1.1637929334464063</v>
      </c>
      <c r="M113" s="197">
        <f t="shared" si="45"/>
        <v>1.1045229994037502</v>
      </c>
      <c r="N113" s="197">
        <f t="shared" si="45"/>
        <v>1.1097138136230218</v>
      </c>
      <c r="O113" s="197">
        <f t="shared" si="45"/>
        <v>0.92385504347737346</v>
      </c>
    </row>
    <row r="114" spans="2:15" x14ac:dyDescent="0.25">
      <c r="C114" s="25" t="s">
        <v>160</v>
      </c>
      <c r="D114" s="6" t="s">
        <v>41</v>
      </c>
      <c r="E114" s="10" t="s">
        <v>77</v>
      </c>
      <c r="H114" s="197">
        <f>SQRT(H112*H113)</f>
        <v>0.87964373621733827</v>
      </c>
      <c r="I114" s="197">
        <f t="shared" ref="I114:O114" si="46">SQRT(I112*I113)</f>
        <v>1.0691473231130628</v>
      </c>
      <c r="J114" s="197">
        <f t="shared" si="46"/>
        <v>1.0480620188330376</v>
      </c>
      <c r="K114" s="197">
        <f t="shared" si="46"/>
        <v>1.1617863637206594</v>
      </c>
      <c r="L114" s="197">
        <f t="shared" si="46"/>
        <v>1.1637929334464061</v>
      </c>
      <c r="M114" s="197">
        <f t="shared" si="46"/>
        <v>1.1045229994037502</v>
      </c>
      <c r="N114" s="197">
        <f t="shared" si="46"/>
        <v>1.1097138136230218</v>
      </c>
      <c r="O114" s="197">
        <f t="shared" si="46"/>
        <v>0.92385504347737324</v>
      </c>
    </row>
    <row r="115" spans="2:15" ht="13" x14ac:dyDescent="0.3">
      <c r="B115" s="191"/>
      <c r="C115" s="185" t="s">
        <v>161</v>
      </c>
      <c r="D115" s="190" t="s">
        <v>41</v>
      </c>
      <c r="E115" s="189" t="s">
        <v>39</v>
      </c>
      <c r="F115" s="188"/>
      <c r="G115" s="186"/>
      <c r="H115" s="192">
        <f t="shared" ref="H115:O115" si="47">LN(H114)</f>
        <v>-0.12823829868940081</v>
      </c>
      <c r="I115" s="192">
        <f t="shared" si="47"/>
        <v>6.6861436497917814E-2</v>
      </c>
      <c r="J115" s="192">
        <f t="shared" si="47"/>
        <v>4.6942762423684593E-2</v>
      </c>
      <c r="K115" s="192">
        <f t="shared" si="47"/>
        <v>0.14995878930708598</v>
      </c>
      <c r="L115" s="192">
        <f t="shared" si="47"/>
        <v>0.15168444125637345</v>
      </c>
      <c r="M115" s="192">
        <f t="shared" si="47"/>
        <v>9.9413567023612967E-2</v>
      </c>
      <c r="N115" s="192">
        <f t="shared" si="47"/>
        <v>0.10410215651667258</v>
      </c>
      <c r="O115" s="192">
        <f t="shared" si="47"/>
        <v>-7.9200099000797983E-2</v>
      </c>
    </row>
    <row r="116" spans="2:15" x14ac:dyDescent="0.25">
      <c r="B116" s="25"/>
      <c r="C116" s="25"/>
      <c r="H116" s="193"/>
      <c r="I116" s="193"/>
      <c r="J116" s="193"/>
      <c r="K116" s="195"/>
      <c r="L116" s="195"/>
      <c r="M116" s="195"/>
      <c r="N116" s="195"/>
      <c r="O116" s="195"/>
    </row>
    <row r="117" spans="2:15" ht="13" x14ac:dyDescent="0.3">
      <c r="B117" s="7" t="s">
        <v>162</v>
      </c>
      <c r="C117" s="7"/>
      <c r="H117" s="8"/>
      <c r="I117" s="8"/>
      <c r="J117" s="8"/>
      <c r="K117" s="8"/>
      <c r="L117" s="8"/>
      <c r="M117" s="8"/>
      <c r="N117" s="8"/>
      <c r="O117" s="8"/>
    </row>
    <row r="118" spans="2:15" x14ac:dyDescent="0.25">
      <c r="C118" s="25" t="s">
        <v>163</v>
      </c>
      <c r="D118" s="6" t="s">
        <v>41</v>
      </c>
      <c r="E118" s="10" t="s">
        <v>77</v>
      </c>
      <c r="H118" s="197">
        <f t="shared" ref="H118:O118" si="48">+H74/H75</f>
        <v>1.082344528798904</v>
      </c>
      <c r="I118" s="197">
        <f t="shared" si="48"/>
        <v>1.0035855966429441</v>
      </c>
      <c r="J118" s="197">
        <f t="shared" si="48"/>
        <v>0.98281147150268522</v>
      </c>
      <c r="K118" s="197">
        <f t="shared" si="48"/>
        <v>0.92295460276510621</v>
      </c>
      <c r="L118" s="197">
        <f t="shared" si="48"/>
        <v>0.97742198724815288</v>
      </c>
      <c r="M118" s="197">
        <f t="shared" si="48"/>
        <v>1.0641634367994826</v>
      </c>
      <c r="N118" s="197">
        <f t="shared" si="48"/>
        <v>1.0051168304215292</v>
      </c>
      <c r="O118" s="197">
        <f t="shared" si="48"/>
        <v>1.0059349034177136</v>
      </c>
    </row>
    <row r="119" spans="2:15" x14ac:dyDescent="0.25">
      <c r="C119" s="25" t="s">
        <v>164</v>
      </c>
      <c r="D119" s="6" t="s">
        <v>41</v>
      </c>
      <c r="E119" s="10" t="s">
        <v>77</v>
      </c>
      <c r="H119" s="197">
        <f t="shared" ref="H119:O119" si="49">+H80/H81</f>
        <v>1.0823445287989042</v>
      </c>
      <c r="I119" s="197">
        <f t="shared" si="49"/>
        <v>1.0035855966429441</v>
      </c>
      <c r="J119" s="197">
        <f t="shared" si="49"/>
        <v>0.98281147150268522</v>
      </c>
      <c r="K119" s="197">
        <f t="shared" si="49"/>
        <v>0.92295460276510655</v>
      </c>
      <c r="L119" s="197">
        <f t="shared" si="49"/>
        <v>0.97742198724815321</v>
      </c>
      <c r="M119" s="197">
        <f t="shared" si="49"/>
        <v>1.0641634367994828</v>
      </c>
      <c r="N119" s="197">
        <f t="shared" si="49"/>
        <v>1.0051168304215294</v>
      </c>
      <c r="O119" s="197">
        <f t="shared" si="49"/>
        <v>1.0059349034177141</v>
      </c>
    </row>
    <row r="120" spans="2:15" x14ac:dyDescent="0.25">
      <c r="C120" s="25" t="s">
        <v>165</v>
      </c>
      <c r="D120" s="6" t="s">
        <v>41</v>
      </c>
      <c r="E120" s="10" t="s">
        <v>77</v>
      </c>
      <c r="H120" s="197">
        <f t="shared" ref="H120:O120" si="50">SQRT(H118*H119)</f>
        <v>1.0823445287989042</v>
      </c>
      <c r="I120" s="197">
        <f t="shared" si="50"/>
        <v>1.0035855966429441</v>
      </c>
      <c r="J120" s="197">
        <f t="shared" si="50"/>
        <v>0.98281147150268522</v>
      </c>
      <c r="K120" s="197">
        <f t="shared" si="50"/>
        <v>0.92295460276510632</v>
      </c>
      <c r="L120" s="197">
        <f t="shared" si="50"/>
        <v>0.9774219872481531</v>
      </c>
      <c r="M120" s="197">
        <f t="shared" si="50"/>
        <v>1.0641634367994828</v>
      </c>
      <c r="N120" s="197">
        <f t="shared" si="50"/>
        <v>1.0051168304215294</v>
      </c>
      <c r="O120" s="197">
        <f t="shared" si="50"/>
        <v>1.0059349034177139</v>
      </c>
    </row>
    <row r="121" spans="2:15" ht="13" x14ac:dyDescent="0.3">
      <c r="B121" s="191"/>
      <c r="C121" s="185" t="s">
        <v>166</v>
      </c>
      <c r="D121" s="190" t="s">
        <v>41</v>
      </c>
      <c r="E121" s="189" t="s">
        <v>39</v>
      </c>
      <c r="F121" s="188"/>
      <c r="G121" s="186"/>
      <c r="H121" s="192">
        <f t="shared" ref="H121:O121" si="51">LN(H120)</f>
        <v>7.9129548223159082E-2</v>
      </c>
      <c r="I121" s="192">
        <f t="shared" si="51"/>
        <v>3.5791837161752659E-3</v>
      </c>
      <c r="J121" s="192">
        <f t="shared" si="51"/>
        <v>-1.7337966137578889E-2</v>
      </c>
      <c r="K121" s="192">
        <f t="shared" si="51"/>
        <v>-8.0175230125383481E-2</v>
      </c>
      <c r="L121" s="192">
        <f t="shared" si="51"/>
        <v>-2.2836798749266467E-2</v>
      </c>
      <c r="M121" s="192">
        <f t="shared" si="51"/>
        <v>6.2188985137808232E-2</v>
      </c>
      <c r="N121" s="192">
        <f t="shared" si="51"/>
        <v>5.1037839302784504E-3</v>
      </c>
      <c r="O121" s="192">
        <f t="shared" si="51"/>
        <v>5.9173612515806195E-3</v>
      </c>
    </row>
    <row r="122" spans="2:15" x14ac:dyDescent="0.25">
      <c r="B122" s="25"/>
      <c r="C122" s="25"/>
      <c r="H122" s="193"/>
      <c r="I122" s="193"/>
      <c r="J122" s="193"/>
      <c r="K122" s="195"/>
      <c r="L122" s="195"/>
      <c r="M122" s="195"/>
      <c r="N122" s="195"/>
      <c r="O122" s="195"/>
    </row>
    <row r="123" spans="2:15" ht="13" x14ac:dyDescent="0.3">
      <c r="B123" s="7" t="s">
        <v>474</v>
      </c>
      <c r="C123" s="7"/>
      <c r="H123" s="8"/>
      <c r="I123" s="8"/>
      <c r="J123" s="8"/>
      <c r="K123" s="8"/>
      <c r="L123" s="8"/>
      <c r="M123" s="8"/>
      <c r="N123" s="8"/>
      <c r="O123" s="8"/>
    </row>
    <row r="124" spans="2:15" x14ac:dyDescent="0.25">
      <c r="C124" s="25" t="s">
        <v>167</v>
      </c>
      <c r="D124" s="6" t="s">
        <v>41</v>
      </c>
      <c r="E124" s="10" t="s">
        <v>77</v>
      </c>
      <c r="H124" s="197">
        <f>+H86/H87</f>
        <v>1.0312777626919849</v>
      </c>
      <c r="I124" s="197">
        <f t="shared" ref="I124:O124" si="52">+I86/I87</f>
        <v>1.232028172450865</v>
      </c>
      <c r="J124" s="197">
        <f t="shared" si="52"/>
        <v>1.1119134064409466</v>
      </c>
      <c r="K124" s="197">
        <f>+K86/K87</f>
        <v>2.6438934075303449</v>
      </c>
      <c r="L124" s="197">
        <f t="shared" si="52"/>
        <v>2.1689626353707476</v>
      </c>
      <c r="M124" s="197">
        <f t="shared" si="52"/>
        <v>0.98548761966683152</v>
      </c>
      <c r="N124" s="197">
        <f t="shared" si="52"/>
        <v>0.88704677409919364</v>
      </c>
      <c r="O124" s="197">
        <f t="shared" si="52"/>
        <v>0.92234463186675442</v>
      </c>
    </row>
    <row r="125" spans="2:15" x14ac:dyDescent="0.25">
      <c r="C125" s="25" t="s">
        <v>168</v>
      </c>
      <c r="D125" s="6" t="s">
        <v>41</v>
      </c>
      <c r="E125" s="10" t="s">
        <v>77</v>
      </c>
      <c r="H125" s="197">
        <f>+H92/H93</f>
        <v>1.0353559525450251</v>
      </c>
      <c r="I125" s="197">
        <f t="shared" ref="I125:O125" si="53">+I92/I93</f>
        <v>1.2121208464568112</v>
      </c>
      <c r="J125" s="197">
        <f t="shared" si="53"/>
        <v>1.1104076837655417</v>
      </c>
      <c r="K125" s="197">
        <f t="shared" si="53"/>
        <v>2.7090600926171318</v>
      </c>
      <c r="L125" s="197">
        <f t="shared" si="53"/>
        <v>2.0761836888147149</v>
      </c>
      <c r="M125" s="197">
        <f t="shared" si="53"/>
        <v>0.98231082110530898</v>
      </c>
      <c r="N125" s="197">
        <f t="shared" si="53"/>
        <v>0.89213877128431041</v>
      </c>
      <c r="O125" s="197">
        <f t="shared" si="53"/>
        <v>0.92668364647661383</v>
      </c>
    </row>
    <row r="126" spans="2:15" x14ac:dyDescent="0.25">
      <c r="C126" s="25" t="s">
        <v>169</v>
      </c>
      <c r="D126" s="6" t="s">
        <v>41</v>
      </c>
      <c r="E126" s="10" t="s">
        <v>77</v>
      </c>
      <c r="H126" s="197">
        <f>SQRT(H124*H125)</f>
        <v>1.0333148456934422</v>
      </c>
      <c r="I126" s="197">
        <f t="shared" ref="I126:O126" si="54">SQRT(I124*I125)</f>
        <v>1.2220339730342118</v>
      </c>
      <c r="J126" s="197">
        <f t="shared" si="54"/>
        <v>1.111160290054475</v>
      </c>
      <c r="K126" s="197">
        <f t="shared" si="54"/>
        <v>2.6762784084384759</v>
      </c>
      <c r="L126" s="197">
        <f t="shared" si="54"/>
        <v>2.1220661736160173</v>
      </c>
      <c r="M126" s="197">
        <f t="shared" si="54"/>
        <v>0.98389793823548677</v>
      </c>
      <c r="N126" s="197">
        <f t="shared" si="54"/>
        <v>0.88958912938309098</v>
      </c>
      <c r="O126" s="197">
        <f t="shared" si="54"/>
        <v>0.92451159363547952</v>
      </c>
    </row>
    <row r="127" spans="2:15" ht="13" x14ac:dyDescent="0.3">
      <c r="B127" s="191"/>
      <c r="C127" s="185" t="s">
        <v>170</v>
      </c>
      <c r="D127" s="190" t="s">
        <v>41</v>
      </c>
      <c r="E127" s="189" t="s">
        <v>39</v>
      </c>
      <c r="F127" s="188"/>
      <c r="G127" s="186"/>
      <c r="H127" s="192">
        <f t="shared" ref="H127:O127" si="55">LN(H126)</f>
        <v>3.2771931398529547E-2</v>
      </c>
      <c r="I127" s="192">
        <f t="shared" si="55"/>
        <v>0.20051666153661751</v>
      </c>
      <c r="J127" s="192">
        <f t="shared" si="55"/>
        <v>0.1054047757273625</v>
      </c>
      <c r="K127" s="192">
        <f t="shared" si="55"/>
        <v>0.9844271758821288</v>
      </c>
      <c r="L127" s="192">
        <f t="shared" si="55"/>
        <v>0.75239022425599567</v>
      </c>
      <c r="M127" s="192">
        <f t="shared" si="55"/>
        <v>-1.6233108614709828E-2</v>
      </c>
      <c r="N127" s="192">
        <f t="shared" si="55"/>
        <v>-0.1169955752287679</v>
      </c>
      <c r="O127" s="192">
        <f t="shared" si="55"/>
        <v>-7.8489687794994836E-2</v>
      </c>
    </row>
    <row r="128" spans="2:15" x14ac:dyDescent="0.25">
      <c r="B128" s="25"/>
      <c r="C128" s="25"/>
      <c r="H128" s="193"/>
      <c r="I128" s="193"/>
      <c r="J128" s="193"/>
      <c r="K128" s="195"/>
      <c r="L128" s="195"/>
      <c r="M128" s="195"/>
      <c r="N128" s="195"/>
      <c r="O128" s="195"/>
    </row>
    <row r="129" spans="2:15" ht="13" x14ac:dyDescent="0.3">
      <c r="B129" s="7" t="s">
        <v>171</v>
      </c>
      <c r="C129" s="7"/>
      <c r="H129" s="8"/>
      <c r="I129" s="8"/>
      <c r="J129" s="8"/>
      <c r="K129" s="8"/>
      <c r="L129" s="8"/>
      <c r="M129" s="8"/>
      <c r="N129" s="8"/>
      <c r="O129" s="8"/>
    </row>
    <row r="130" spans="2:15" x14ac:dyDescent="0.25">
      <c r="C130" s="25" t="s">
        <v>172</v>
      </c>
      <c r="D130" s="6" t="s">
        <v>41</v>
      </c>
      <c r="E130" s="10" t="s">
        <v>77</v>
      </c>
      <c r="H130" s="197">
        <f>+H88/H89</f>
        <v>1.0468719038500462</v>
      </c>
      <c r="I130" s="197">
        <f t="shared" ref="I130:O130" si="56">+I88/I89</f>
        <v>1.3786679617956616</v>
      </c>
      <c r="J130" s="197">
        <f t="shared" si="56"/>
        <v>1.0117973392735613</v>
      </c>
      <c r="K130" s="197">
        <f t="shared" si="56"/>
        <v>1.1308548368891083</v>
      </c>
      <c r="L130" s="197">
        <f t="shared" si="56"/>
        <v>0.79145811334160343</v>
      </c>
      <c r="M130" s="197">
        <f t="shared" si="56"/>
        <v>0.60352252396129624</v>
      </c>
      <c r="N130" s="197">
        <f t="shared" si="56"/>
        <v>1.260142556939339</v>
      </c>
      <c r="O130" s="197">
        <f t="shared" si="56"/>
        <v>1.2542312940687004</v>
      </c>
    </row>
    <row r="131" spans="2:15" x14ac:dyDescent="0.25">
      <c r="C131" s="25" t="s">
        <v>173</v>
      </c>
      <c r="D131" s="6" t="s">
        <v>41</v>
      </c>
      <c r="E131" s="10" t="s">
        <v>77</v>
      </c>
      <c r="H131" s="197">
        <f>+H94/H95</f>
        <v>1.0510117607636382</v>
      </c>
      <c r="I131" s="197">
        <f t="shared" ref="I131:O131" si="57">+I94/I95</f>
        <v>1.3563912045211695</v>
      </c>
      <c r="J131" s="197">
        <f t="shared" si="57"/>
        <v>1.0104271910337492</v>
      </c>
      <c r="K131" s="197">
        <f t="shared" si="57"/>
        <v>1.1587281470704214</v>
      </c>
      <c r="L131" s="197">
        <f t="shared" si="57"/>
        <v>0.75760291971052118</v>
      </c>
      <c r="M131" s="197">
        <f t="shared" si="57"/>
        <v>0.60157702059047269</v>
      </c>
      <c r="N131" s="197">
        <f t="shared" si="57"/>
        <v>1.267376270583467</v>
      </c>
      <c r="O131" s="197">
        <f t="shared" si="57"/>
        <v>1.2601316134515892</v>
      </c>
    </row>
    <row r="132" spans="2:15" x14ac:dyDescent="0.25">
      <c r="C132" s="25" t="s">
        <v>174</v>
      </c>
      <c r="D132" s="6" t="s">
        <v>41</v>
      </c>
      <c r="E132" s="10" t="s">
        <v>77</v>
      </c>
      <c r="H132" s="197">
        <f t="shared" ref="H132:O132" si="58">SQRT(H130*H131)</f>
        <v>1.0489397899590898</v>
      </c>
      <c r="I132" s="197">
        <f t="shared" si="58"/>
        <v>1.36748422196922</v>
      </c>
      <c r="J132" s="197">
        <f t="shared" si="58"/>
        <v>1.0111120330693359</v>
      </c>
      <c r="K132" s="197">
        <f t="shared" si="58"/>
        <v>1.1447066566392194</v>
      </c>
      <c r="L132" s="197">
        <f t="shared" si="58"/>
        <v>0.77434551557827158</v>
      </c>
      <c r="M132" s="197">
        <f t="shared" si="58"/>
        <v>0.60254898707397953</v>
      </c>
      <c r="N132" s="197">
        <f t="shared" si="58"/>
        <v>1.2637542380610614</v>
      </c>
      <c r="O132" s="197">
        <f t="shared" si="58"/>
        <v>1.2571779922653219</v>
      </c>
    </row>
    <row r="133" spans="2:15" ht="13" x14ac:dyDescent="0.3">
      <c r="B133" s="191"/>
      <c r="C133" s="185" t="s">
        <v>175</v>
      </c>
      <c r="D133" s="190" t="s">
        <v>41</v>
      </c>
      <c r="E133" s="189" t="s">
        <v>39</v>
      </c>
      <c r="F133" s="188"/>
      <c r="G133" s="186"/>
      <c r="H133" s="192">
        <f t="shared" ref="H133:O133" si="59">LN(H132)</f>
        <v>4.7779930206408847E-2</v>
      </c>
      <c r="I133" s="192">
        <f t="shared" si="59"/>
        <v>0.31297271738215054</v>
      </c>
      <c r="J133" s="192">
        <f t="shared" si="59"/>
        <v>1.1050748012985032E-2</v>
      </c>
      <c r="K133" s="192">
        <f t="shared" si="59"/>
        <v>0.13514840910772097</v>
      </c>
      <c r="L133" s="192">
        <f t="shared" si="59"/>
        <v>-0.25573710244448206</v>
      </c>
      <c r="M133" s="192">
        <f t="shared" si="59"/>
        <v>-0.50658631057565484</v>
      </c>
      <c r="N133" s="192">
        <f t="shared" si="59"/>
        <v>0.23408684490661341</v>
      </c>
      <c r="O133" s="192">
        <f t="shared" si="59"/>
        <v>0.22886952043116812</v>
      </c>
    </row>
    <row r="134" spans="2:15" x14ac:dyDescent="0.25">
      <c r="B134" s="25"/>
      <c r="C134" s="25"/>
      <c r="H134" s="193"/>
      <c r="I134" s="193"/>
      <c r="J134" s="193"/>
      <c r="K134" s="195"/>
      <c r="L134" s="195"/>
      <c r="M134" s="195"/>
      <c r="N134" s="195"/>
      <c r="O134" s="195"/>
    </row>
    <row r="135" spans="2:15" ht="13" x14ac:dyDescent="0.3">
      <c r="B135" s="7" t="s">
        <v>176</v>
      </c>
      <c r="H135" s="8"/>
      <c r="I135" s="8"/>
      <c r="J135" s="8"/>
      <c r="K135" s="8"/>
      <c r="L135" s="8"/>
      <c r="M135" s="8"/>
      <c r="N135" s="8"/>
      <c r="O135" s="8"/>
    </row>
    <row r="136" spans="2:15" ht="13" x14ac:dyDescent="0.3">
      <c r="B136" s="204" t="s">
        <v>177</v>
      </c>
      <c r="C136" s="18"/>
      <c r="D136" s="9"/>
      <c r="E136" s="9"/>
      <c r="F136" s="18"/>
      <c r="G136" s="18"/>
      <c r="H136" s="200"/>
      <c r="I136" s="200"/>
      <c r="J136" s="200"/>
      <c r="K136" s="200"/>
      <c r="L136" s="200"/>
      <c r="M136" s="200"/>
      <c r="N136" s="200"/>
      <c r="O136" s="200"/>
    </row>
    <row r="137" spans="2:15" x14ac:dyDescent="0.25">
      <c r="B137" s="26" t="s">
        <v>178</v>
      </c>
      <c r="C137" s="93" t="s">
        <v>191</v>
      </c>
      <c r="H137" s="82">
        <f t="shared" ref="H137:O137" si="60">+H25</f>
        <v>35793.610487596074</v>
      </c>
      <c r="I137" s="82">
        <f t="shared" si="60"/>
        <v>40120.095106208806</v>
      </c>
      <c r="J137" s="82">
        <f t="shared" si="60"/>
        <v>35207.711281471195</v>
      </c>
      <c r="K137" s="82">
        <f t="shared" si="60"/>
        <v>38748.463930663733</v>
      </c>
      <c r="L137" s="82">
        <f t="shared" si="60"/>
        <v>39755.835560798412</v>
      </c>
      <c r="M137" s="82">
        <f t="shared" si="60"/>
        <v>37346.52209939935</v>
      </c>
      <c r="N137" s="82">
        <f t="shared" si="60"/>
        <v>40398.735351443465</v>
      </c>
      <c r="O137" s="82">
        <f t="shared" si="60"/>
        <v>41458.578089206436</v>
      </c>
    </row>
    <row r="138" spans="2:15" x14ac:dyDescent="0.25">
      <c r="B138" s="26" t="s">
        <v>57</v>
      </c>
      <c r="C138" s="93" t="s">
        <v>57</v>
      </c>
      <c r="H138" s="82">
        <f t="shared" ref="H138:O138" si="61">+H72</f>
        <v>19818.853820792479</v>
      </c>
      <c r="I138" s="82">
        <f t="shared" si="61"/>
        <v>22934.095334758731</v>
      </c>
      <c r="J138" s="82">
        <f t="shared" si="61"/>
        <v>24122.538927787868</v>
      </c>
      <c r="K138" s="82">
        <f t="shared" si="61"/>
        <v>27543.524203508197</v>
      </c>
      <c r="L138" s="82">
        <f t="shared" si="61"/>
        <v>29585.271793827902</v>
      </c>
      <c r="M138" s="82">
        <f t="shared" si="61"/>
        <v>31939.817573721513</v>
      </c>
      <c r="N138" s="82">
        <f t="shared" si="61"/>
        <v>37718.269262390764</v>
      </c>
      <c r="O138" s="82">
        <f t="shared" si="61"/>
        <v>35024.515453531058</v>
      </c>
    </row>
    <row r="139" spans="2:15" x14ac:dyDescent="0.25">
      <c r="B139" s="26" t="s">
        <v>179</v>
      </c>
      <c r="C139" s="269" t="s">
        <v>179</v>
      </c>
      <c r="D139" s="254"/>
      <c r="E139" s="254"/>
      <c r="F139" s="223"/>
      <c r="G139" s="223"/>
      <c r="H139" s="270">
        <f>H86</f>
        <v>11978.357716103719</v>
      </c>
      <c r="I139" s="270">
        <f t="shared" ref="I139:O139" si="62">I86</f>
        <v>15510.489109914331</v>
      </c>
      <c r="J139" s="270">
        <f t="shared" si="62"/>
        <v>23392.757818743554</v>
      </c>
      <c r="K139" s="270">
        <f>K86</f>
        <v>62492.8586559299</v>
      </c>
      <c r="L139" s="270">
        <f t="shared" si="62"/>
        <v>157059.43057407302</v>
      </c>
      <c r="M139" s="270">
        <f t="shared" si="62"/>
        <v>117261.87414546934</v>
      </c>
      <c r="N139" s="270">
        <f t="shared" si="62"/>
        <v>62574.09689494456</v>
      </c>
      <c r="O139" s="270">
        <f t="shared" si="62"/>
        <v>73146.472368869378</v>
      </c>
    </row>
    <row r="140" spans="2:15" ht="13" x14ac:dyDescent="0.3">
      <c r="B140" s="204" t="s">
        <v>180</v>
      </c>
      <c r="C140" s="201"/>
      <c r="D140" s="202"/>
      <c r="E140" s="202"/>
      <c r="F140" s="201"/>
      <c r="G140" s="201"/>
      <c r="H140" s="203"/>
      <c r="I140" s="203"/>
      <c r="J140" s="203"/>
      <c r="K140" s="203"/>
      <c r="L140" s="203"/>
      <c r="M140" s="203"/>
      <c r="N140" s="203"/>
      <c r="O140" s="203"/>
    </row>
    <row r="141" spans="2:15" x14ac:dyDescent="0.25">
      <c r="B141" s="26" t="s">
        <v>178</v>
      </c>
      <c r="C141" s="93" t="s">
        <v>191</v>
      </c>
      <c r="H141" s="82">
        <f t="shared" ref="H141:O141" si="63">+H26</f>
        <v>32352.957699999999</v>
      </c>
      <c r="I141" s="82">
        <f t="shared" si="63"/>
        <v>35409.756079999999</v>
      </c>
      <c r="J141" s="82">
        <f t="shared" si="63"/>
        <v>35589.788370000002</v>
      </c>
      <c r="K141" s="82">
        <f t="shared" si="63"/>
        <v>36795.381600000001</v>
      </c>
      <c r="L141" s="82">
        <f t="shared" si="63"/>
        <v>36654.080999999998</v>
      </c>
      <c r="M141" s="82">
        <f t="shared" si="63"/>
        <v>36738.935720000001</v>
      </c>
      <c r="N141" s="82">
        <f t="shared" si="63"/>
        <v>39392.425279999996</v>
      </c>
      <c r="O141" s="82">
        <f t="shared" si="63"/>
        <v>42063.681370000006</v>
      </c>
    </row>
    <row r="142" spans="2:15" x14ac:dyDescent="0.25">
      <c r="B142" s="26" t="s">
        <v>57</v>
      </c>
      <c r="C142" s="93" t="s">
        <v>57</v>
      </c>
      <c r="H142" s="82">
        <f t="shared" ref="H142:O142" si="64">+H73</f>
        <v>22530.546180000005</v>
      </c>
      <c r="I142" s="82">
        <f t="shared" si="64"/>
        <v>21450.827999999998</v>
      </c>
      <c r="J142" s="82">
        <f t="shared" si="64"/>
        <v>23016.32775</v>
      </c>
      <c r="K142" s="82">
        <f t="shared" si="64"/>
        <v>23707.90798</v>
      </c>
      <c r="L142" s="82">
        <f t="shared" si="64"/>
        <v>25421.422440000006</v>
      </c>
      <c r="M142" s="82">
        <f t="shared" si="64"/>
        <v>28917.295150000002</v>
      </c>
      <c r="N142" s="82">
        <f t="shared" si="64"/>
        <v>33989.186040000001</v>
      </c>
      <c r="O142" s="82">
        <f t="shared" si="64"/>
        <v>37911.267250000004</v>
      </c>
    </row>
    <row r="143" spans="2:15" x14ac:dyDescent="0.25">
      <c r="B143" s="26" t="s">
        <v>179</v>
      </c>
      <c r="C143" s="269" t="s">
        <v>179</v>
      </c>
      <c r="D143" s="254"/>
      <c r="E143" s="254"/>
      <c r="F143" s="223"/>
      <c r="G143" s="223"/>
      <c r="H143" s="270">
        <f>H87</f>
        <v>11615.064485474932</v>
      </c>
      <c r="I143" s="270">
        <f t="shared" ref="I143:O143" si="65">I87</f>
        <v>12589.394834258881</v>
      </c>
      <c r="J143" s="270">
        <f t="shared" si="65"/>
        <v>21038.291006509182</v>
      </c>
      <c r="K143" s="270">
        <f t="shared" si="65"/>
        <v>23636.678573325822</v>
      </c>
      <c r="L143" s="270">
        <f t="shared" si="65"/>
        <v>72412.234315519396</v>
      </c>
      <c r="M143" s="270">
        <f t="shared" si="65"/>
        <v>118988.68317098962</v>
      </c>
      <c r="N143" s="270">
        <f t="shared" si="65"/>
        <v>70542.048877286419</v>
      </c>
      <c r="O143" s="270">
        <f t="shared" si="65"/>
        <v>79304.925557843337</v>
      </c>
    </row>
    <row r="144" spans="2:15" x14ac:dyDescent="0.25">
      <c r="H144" s="8"/>
      <c r="I144" s="8"/>
      <c r="J144" s="8"/>
      <c r="K144" s="8"/>
      <c r="L144" s="8"/>
      <c r="M144" s="8"/>
      <c r="N144" s="8"/>
      <c r="O144" s="8"/>
    </row>
    <row r="145" spans="2:15" ht="13" x14ac:dyDescent="0.3">
      <c r="B145" s="7" t="s">
        <v>181</v>
      </c>
      <c r="H145" s="8"/>
      <c r="I145" s="8"/>
      <c r="J145" s="8"/>
      <c r="K145" s="8"/>
      <c r="L145" s="8"/>
      <c r="M145" s="8"/>
      <c r="N145" s="8"/>
      <c r="O145" s="8"/>
    </row>
    <row r="146" spans="2:15" ht="13" x14ac:dyDescent="0.3">
      <c r="B146" s="204" t="s">
        <v>177</v>
      </c>
      <c r="C146" s="18"/>
      <c r="D146" s="9"/>
      <c r="E146" s="9"/>
      <c r="F146" s="18"/>
      <c r="G146" s="18"/>
      <c r="H146" s="200"/>
      <c r="I146" s="200"/>
      <c r="J146" s="200"/>
      <c r="K146" s="200"/>
      <c r="L146" s="200"/>
      <c r="M146" s="200"/>
      <c r="N146" s="200"/>
      <c r="O146" s="200"/>
    </row>
    <row r="147" spans="2:15" x14ac:dyDescent="0.25">
      <c r="B147" s="26" t="s">
        <v>178</v>
      </c>
      <c r="C147" s="93" t="s">
        <v>191</v>
      </c>
      <c r="H147" s="82">
        <f t="shared" ref="H147:O147" si="66">+H27</f>
        <v>31927.08638251618</v>
      </c>
      <c r="I147" s="82">
        <f t="shared" si="66"/>
        <v>31696.960476637225</v>
      </c>
      <c r="J147" s="82">
        <f t="shared" si="66"/>
        <v>39218.208838532541</v>
      </c>
      <c r="K147" s="82">
        <f t="shared" si="66"/>
        <v>34997.272251541479</v>
      </c>
      <c r="L147" s="82">
        <f t="shared" si="66"/>
        <v>34115.341420342105</v>
      </c>
      <c r="M147" s="82">
        <f t="shared" si="66"/>
        <v>38791.781486091582</v>
      </c>
      <c r="N147" s="82">
        <f t="shared" si="66"/>
        <v>41033.500855171325</v>
      </c>
      <c r="O147" s="82">
        <f t="shared" si="66"/>
        <v>43582.867303135739</v>
      </c>
    </row>
    <row r="148" spans="2:15" x14ac:dyDescent="0.25">
      <c r="B148" s="26" t="s">
        <v>57</v>
      </c>
      <c r="C148" s="93" t="s">
        <v>57</v>
      </c>
      <c r="H148" s="82">
        <f t="shared" ref="H148:O148" si="67">+H74</f>
        <v>24385.813388774051</v>
      </c>
      <c r="I148" s="82">
        <f t="shared" si="67"/>
        <v>21527.74201686517</v>
      </c>
      <c r="J148" s="82">
        <f t="shared" si="67"/>
        <v>22620.710944565588</v>
      </c>
      <c r="K148" s="82">
        <f t="shared" si="67"/>
        <v>21881.322792072591</v>
      </c>
      <c r="L148" s="82">
        <f t="shared" si="67"/>
        <v>24847.457239979594</v>
      </c>
      <c r="M148" s="82">
        <f t="shared" si="67"/>
        <v>30772.728189769008</v>
      </c>
      <c r="N148" s="82">
        <f t="shared" si="67"/>
        <v>34163.102941132485</v>
      </c>
      <c r="O148" s="82">
        <f t="shared" si="67"/>
        <v>38136.266959571883</v>
      </c>
    </row>
    <row r="149" spans="2:15" x14ac:dyDescent="0.25">
      <c r="B149" s="26" t="s">
        <v>179</v>
      </c>
      <c r="C149" s="269" t="s">
        <v>179</v>
      </c>
      <c r="D149" s="254"/>
      <c r="E149" s="254"/>
      <c r="F149" s="223"/>
      <c r="G149" s="223"/>
      <c r="H149" s="270">
        <f>H88</f>
        <v>12159.484671250199</v>
      </c>
      <c r="I149" s="270">
        <f t="shared" ref="I149:O149" si="68">I88</f>
        <v>17356.595316388524</v>
      </c>
      <c r="J149" s="270">
        <f t="shared" si="68"/>
        <v>21286.486863248883</v>
      </c>
      <c r="K149" s="270">
        <f t="shared" si="68"/>
        <v>26729.652292638653</v>
      </c>
      <c r="L149" s="270">
        <f t="shared" si="68"/>
        <v>57311.250354211094</v>
      </c>
      <c r="M149" s="270">
        <f t="shared" si="68"/>
        <v>71812.350390186664</v>
      </c>
      <c r="N149" s="270">
        <f t="shared" si="68"/>
        <v>88893.037843963539</v>
      </c>
      <c r="O149" s="270">
        <f t="shared" si="68"/>
        <v>99466.719408435791</v>
      </c>
    </row>
    <row r="150" spans="2:15" ht="13" x14ac:dyDescent="0.3">
      <c r="B150" s="204" t="s">
        <v>180</v>
      </c>
      <c r="C150" s="201"/>
      <c r="D150" s="202"/>
      <c r="E150" s="202"/>
      <c r="F150" s="201"/>
      <c r="G150" s="201"/>
      <c r="H150" s="203"/>
      <c r="I150" s="203"/>
      <c r="J150" s="203"/>
      <c r="K150" s="203"/>
      <c r="L150" s="203"/>
      <c r="M150" s="203"/>
      <c r="N150" s="203"/>
      <c r="O150" s="203"/>
    </row>
    <row r="151" spans="2:15" x14ac:dyDescent="0.25">
      <c r="B151" s="26" t="s">
        <v>178</v>
      </c>
      <c r="C151" s="93" t="s">
        <v>191</v>
      </c>
      <c r="H151" s="82">
        <f t="shared" ref="H151:O151" si="69">+H28</f>
        <v>32352.957699999999</v>
      </c>
      <c r="I151" s="82">
        <f t="shared" si="69"/>
        <v>35409.756079999999</v>
      </c>
      <c r="J151" s="82">
        <f t="shared" si="69"/>
        <v>35589.788370000002</v>
      </c>
      <c r="K151" s="82">
        <f t="shared" si="69"/>
        <v>36795.381600000001</v>
      </c>
      <c r="L151" s="82">
        <f t="shared" si="69"/>
        <v>36654.080999999998</v>
      </c>
      <c r="M151" s="82">
        <f t="shared" si="69"/>
        <v>36738.935720000001</v>
      </c>
      <c r="N151" s="82">
        <f t="shared" si="69"/>
        <v>39392.425279999996</v>
      </c>
      <c r="O151" s="82">
        <f t="shared" si="69"/>
        <v>42063.681370000006</v>
      </c>
    </row>
    <row r="152" spans="2:15" x14ac:dyDescent="0.25">
      <c r="B152" s="26" t="s">
        <v>57</v>
      </c>
      <c r="C152" s="93" t="s">
        <v>57</v>
      </c>
      <c r="H152" s="82">
        <f t="shared" ref="H152:O152" si="70">+H75</f>
        <v>22530.546180000005</v>
      </c>
      <c r="I152" s="82">
        <f t="shared" si="70"/>
        <v>21450.827999999998</v>
      </c>
      <c r="J152" s="82">
        <f t="shared" si="70"/>
        <v>23016.32775</v>
      </c>
      <c r="K152" s="82">
        <f t="shared" si="70"/>
        <v>23707.90798</v>
      </c>
      <c r="L152" s="82">
        <f t="shared" si="70"/>
        <v>25421.422440000006</v>
      </c>
      <c r="M152" s="82">
        <f t="shared" si="70"/>
        <v>28917.295150000002</v>
      </c>
      <c r="N152" s="82">
        <f t="shared" si="70"/>
        <v>33989.186040000001</v>
      </c>
      <c r="O152" s="82">
        <f t="shared" si="70"/>
        <v>37911.267250000004</v>
      </c>
    </row>
    <row r="153" spans="2:15" x14ac:dyDescent="0.25">
      <c r="B153" s="26" t="s">
        <v>179</v>
      </c>
      <c r="C153" s="269" t="s">
        <v>179</v>
      </c>
      <c r="D153" s="254"/>
      <c r="E153" s="254"/>
      <c r="F153" s="223"/>
      <c r="G153" s="223"/>
      <c r="H153" s="270">
        <f>+H89</f>
        <v>11615.064485474932</v>
      </c>
      <c r="I153" s="270">
        <f t="shared" ref="I153:O153" si="71">+I89</f>
        <v>12589.394834258881</v>
      </c>
      <c r="J153" s="270">
        <f t="shared" si="71"/>
        <v>21038.291006509182</v>
      </c>
      <c r="K153" s="270">
        <f t="shared" si="71"/>
        <v>23636.678573325822</v>
      </c>
      <c r="L153" s="270">
        <f t="shared" si="71"/>
        <v>72412.234315519396</v>
      </c>
      <c r="M153" s="270">
        <f t="shared" si="71"/>
        <v>118988.68317098962</v>
      </c>
      <c r="N153" s="270">
        <f t="shared" si="71"/>
        <v>70542.048877286419</v>
      </c>
      <c r="O153" s="270">
        <f t="shared" si="71"/>
        <v>79304.925557843337</v>
      </c>
    </row>
    <row r="154" spans="2:15" x14ac:dyDescent="0.25">
      <c r="H154" s="8"/>
      <c r="I154" s="8"/>
      <c r="J154" s="8"/>
      <c r="K154" s="8"/>
      <c r="L154" s="8"/>
      <c r="M154" s="8"/>
      <c r="N154" s="8"/>
      <c r="O154" s="8"/>
    </row>
    <row r="155" spans="2:15" ht="13" x14ac:dyDescent="0.3">
      <c r="B155" s="7" t="s">
        <v>182</v>
      </c>
      <c r="H155" s="8"/>
      <c r="I155" s="8"/>
      <c r="J155" s="8"/>
      <c r="K155" s="8"/>
      <c r="L155" s="8"/>
      <c r="M155" s="8"/>
      <c r="N155" s="8"/>
      <c r="O155" s="8"/>
    </row>
    <row r="156" spans="2:15" ht="13" x14ac:dyDescent="0.3">
      <c r="B156" s="204" t="s">
        <v>177</v>
      </c>
      <c r="C156" s="18"/>
      <c r="D156" s="9"/>
      <c r="E156" s="9"/>
      <c r="F156" s="18"/>
      <c r="G156" s="18"/>
      <c r="H156" s="200"/>
      <c r="I156" s="200"/>
      <c r="J156" s="200"/>
      <c r="K156" s="200"/>
      <c r="L156" s="200"/>
      <c r="M156" s="200"/>
      <c r="N156" s="200"/>
      <c r="O156" s="200"/>
    </row>
    <row r="157" spans="2:15" x14ac:dyDescent="0.25">
      <c r="B157" s="26" t="s">
        <v>178</v>
      </c>
      <c r="C157" s="93" t="s">
        <v>191</v>
      </c>
      <c r="H157" s="82">
        <f t="shared" ref="H157:O157" si="72">+H31</f>
        <v>35409.756079999999</v>
      </c>
      <c r="I157" s="82">
        <f t="shared" si="72"/>
        <v>35589.788370000002</v>
      </c>
      <c r="J157" s="82">
        <f t="shared" si="72"/>
        <v>36795.381600000001</v>
      </c>
      <c r="K157" s="82">
        <f t="shared" si="72"/>
        <v>36654.080999999998</v>
      </c>
      <c r="L157" s="82">
        <f t="shared" si="72"/>
        <v>36738.935720000001</v>
      </c>
      <c r="M157" s="82">
        <f t="shared" si="72"/>
        <v>39392.425279999996</v>
      </c>
      <c r="N157" s="82">
        <f t="shared" si="72"/>
        <v>42063.681370000006</v>
      </c>
      <c r="O157" s="82">
        <f t="shared" si="72"/>
        <v>42972.388890000002</v>
      </c>
    </row>
    <row r="158" spans="2:15" x14ac:dyDescent="0.25">
      <c r="B158" s="26" t="s">
        <v>57</v>
      </c>
      <c r="C158" s="93" t="s">
        <v>57</v>
      </c>
      <c r="H158" s="82">
        <f t="shared" ref="H158:O158" si="73">+H78</f>
        <v>21450.827999999998</v>
      </c>
      <c r="I158" s="82">
        <f t="shared" si="73"/>
        <v>23016.32775</v>
      </c>
      <c r="J158" s="82">
        <f t="shared" si="73"/>
        <v>23707.90798</v>
      </c>
      <c r="K158" s="82">
        <f t="shared" si="73"/>
        <v>25421.422440000006</v>
      </c>
      <c r="L158" s="82">
        <f t="shared" si="73"/>
        <v>28917.295150000002</v>
      </c>
      <c r="M158" s="82">
        <f t="shared" si="73"/>
        <v>33989.186040000001</v>
      </c>
      <c r="N158" s="82">
        <f t="shared" si="73"/>
        <v>37911.267250000004</v>
      </c>
      <c r="O158" s="82">
        <f t="shared" si="73"/>
        <v>35232.382570000002</v>
      </c>
    </row>
    <row r="159" spans="2:15" x14ac:dyDescent="0.25">
      <c r="B159" s="26" t="s">
        <v>179</v>
      </c>
      <c r="C159" s="269" t="s">
        <v>179</v>
      </c>
      <c r="D159" s="254"/>
      <c r="E159" s="254"/>
      <c r="F159" s="223"/>
      <c r="G159" s="223"/>
      <c r="H159" s="270">
        <f>+H92</f>
        <v>12589.394834258881</v>
      </c>
      <c r="I159" s="270">
        <f t="shared" ref="I159:O159" si="74">+I92</f>
        <v>21038.291006509182</v>
      </c>
      <c r="J159" s="270">
        <f t="shared" si="74"/>
        <v>23636.678573325822</v>
      </c>
      <c r="K159" s="270">
        <f t="shared" si="74"/>
        <v>72412.234315519396</v>
      </c>
      <c r="L159" s="270">
        <f t="shared" si="74"/>
        <v>118988.68317098962</v>
      </c>
      <c r="M159" s="270">
        <f t="shared" si="74"/>
        <v>70542.048877286419</v>
      </c>
      <c r="N159" s="270">
        <f t="shared" si="74"/>
        <v>79304.925557843337</v>
      </c>
      <c r="O159" s="270">
        <f t="shared" si="74"/>
        <v>92174.182244475451</v>
      </c>
    </row>
    <row r="160" spans="2:15" ht="13" x14ac:dyDescent="0.3">
      <c r="B160" s="204" t="s">
        <v>180</v>
      </c>
      <c r="C160" s="201"/>
      <c r="D160" s="202"/>
      <c r="E160" s="202"/>
      <c r="F160" s="201"/>
      <c r="G160" s="201"/>
      <c r="H160" s="203"/>
      <c r="I160" s="203"/>
      <c r="J160" s="203"/>
      <c r="K160" s="203"/>
      <c r="L160" s="203"/>
      <c r="M160" s="203"/>
      <c r="N160" s="203"/>
      <c r="O160" s="203"/>
    </row>
    <row r="161" spans="2:15" x14ac:dyDescent="0.25">
      <c r="B161" s="26" t="s">
        <v>178</v>
      </c>
      <c r="C161" s="93" t="s">
        <v>191</v>
      </c>
      <c r="H161" s="82">
        <f t="shared" ref="H161:O161" si="75">+H32</f>
        <v>31927.08638251618</v>
      </c>
      <c r="I161" s="82">
        <f t="shared" si="75"/>
        <v>31696.960476637225</v>
      </c>
      <c r="J161" s="82">
        <f t="shared" si="75"/>
        <v>39218.208838532541</v>
      </c>
      <c r="K161" s="82">
        <f t="shared" si="75"/>
        <v>34997.272251541479</v>
      </c>
      <c r="L161" s="82">
        <f t="shared" si="75"/>
        <v>34115.341420342105</v>
      </c>
      <c r="M161" s="82">
        <f t="shared" si="75"/>
        <v>38791.781486091582</v>
      </c>
      <c r="N161" s="82">
        <f t="shared" si="75"/>
        <v>41033.500855171325</v>
      </c>
      <c r="O161" s="82">
        <f t="shared" si="75"/>
        <v>43582.867303135739</v>
      </c>
    </row>
    <row r="162" spans="2:15" x14ac:dyDescent="0.25">
      <c r="B162" s="26" t="s">
        <v>57</v>
      </c>
      <c r="C162" s="93" t="s">
        <v>57</v>
      </c>
      <c r="H162" s="82">
        <f t="shared" ref="H162:O162" si="76">+H79</f>
        <v>24385.813388774051</v>
      </c>
      <c r="I162" s="82">
        <f t="shared" si="76"/>
        <v>21527.74201686517</v>
      </c>
      <c r="J162" s="82">
        <f t="shared" si="76"/>
        <v>22620.710944565588</v>
      </c>
      <c r="K162" s="82">
        <f t="shared" si="76"/>
        <v>21881.322792072591</v>
      </c>
      <c r="L162" s="82">
        <f t="shared" si="76"/>
        <v>24847.457239979594</v>
      </c>
      <c r="M162" s="82">
        <f t="shared" si="76"/>
        <v>30772.728189769008</v>
      </c>
      <c r="N162" s="82">
        <f t="shared" si="76"/>
        <v>34163.102941132485</v>
      </c>
      <c r="O162" s="82">
        <f t="shared" si="76"/>
        <v>38136.266959571883</v>
      </c>
    </row>
    <row r="163" spans="2:15" x14ac:dyDescent="0.25">
      <c r="B163" s="26" t="s">
        <v>179</v>
      </c>
      <c r="C163" s="269" t="s">
        <v>179</v>
      </c>
      <c r="D163" s="254"/>
      <c r="E163" s="254"/>
      <c r="F163" s="223"/>
      <c r="G163" s="223"/>
      <c r="H163" s="270">
        <f>H93</f>
        <v>12159.484671250199</v>
      </c>
      <c r="I163" s="270">
        <f t="shared" ref="I163:O163" si="77">I93</f>
        <v>17356.595316388524</v>
      </c>
      <c r="J163" s="270">
        <f t="shared" si="77"/>
        <v>21286.486863248883</v>
      </c>
      <c r="K163" s="270">
        <f t="shared" si="77"/>
        <v>26729.652292638653</v>
      </c>
      <c r="L163" s="270">
        <f t="shared" si="77"/>
        <v>57311.250354211094</v>
      </c>
      <c r="M163" s="270">
        <f t="shared" si="77"/>
        <v>71812.350390186664</v>
      </c>
      <c r="N163" s="270">
        <f t="shared" si="77"/>
        <v>88893.037843963539</v>
      </c>
      <c r="O163" s="270">
        <f t="shared" si="77"/>
        <v>99466.719408435791</v>
      </c>
    </row>
    <row r="164" spans="2:15" x14ac:dyDescent="0.25">
      <c r="H164" s="8"/>
      <c r="I164" s="8"/>
      <c r="J164" s="8"/>
      <c r="K164" s="8"/>
      <c r="L164" s="8"/>
      <c r="M164" s="8"/>
      <c r="N164" s="8"/>
      <c r="O164" s="8"/>
    </row>
    <row r="165" spans="2:15" ht="13" x14ac:dyDescent="0.3">
      <c r="B165" s="7" t="s">
        <v>183</v>
      </c>
      <c r="H165" s="8"/>
      <c r="I165" s="8"/>
      <c r="J165" s="8"/>
      <c r="K165" s="8"/>
      <c r="L165" s="8"/>
      <c r="M165" s="8"/>
      <c r="N165" s="8"/>
      <c r="O165" s="8"/>
    </row>
    <row r="166" spans="2:15" ht="13" x14ac:dyDescent="0.3">
      <c r="B166" s="204" t="s">
        <v>177</v>
      </c>
      <c r="C166" s="18"/>
      <c r="D166" s="9"/>
      <c r="E166" s="9"/>
      <c r="F166" s="18"/>
      <c r="G166" s="18"/>
      <c r="H166" s="200"/>
      <c r="I166" s="200"/>
      <c r="J166" s="200"/>
      <c r="K166" s="200"/>
      <c r="L166" s="200"/>
      <c r="M166" s="200"/>
      <c r="N166" s="200"/>
      <c r="O166" s="200"/>
    </row>
    <row r="167" spans="2:15" x14ac:dyDescent="0.25">
      <c r="B167" s="26" t="s">
        <v>178</v>
      </c>
      <c r="C167" s="93" t="s">
        <v>191</v>
      </c>
      <c r="H167" s="82">
        <f t="shared" ref="H167:O167" si="78">+H33</f>
        <v>35409.756079999999</v>
      </c>
      <c r="I167" s="82">
        <f t="shared" si="78"/>
        <v>35589.788370000002</v>
      </c>
      <c r="J167" s="82">
        <f t="shared" si="78"/>
        <v>36795.381600000001</v>
      </c>
      <c r="K167" s="82">
        <f t="shared" si="78"/>
        <v>36654.080999999998</v>
      </c>
      <c r="L167" s="82">
        <f t="shared" si="78"/>
        <v>36738.935720000001</v>
      </c>
      <c r="M167" s="82">
        <f t="shared" si="78"/>
        <v>39392.425279999996</v>
      </c>
      <c r="N167" s="82">
        <f t="shared" si="78"/>
        <v>42063.681370000006</v>
      </c>
      <c r="O167" s="82">
        <f t="shared" si="78"/>
        <v>42972.388890000002</v>
      </c>
    </row>
    <row r="168" spans="2:15" x14ac:dyDescent="0.25">
      <c r="B168" s="26" t="s">
        <v>57</v>
      </c>
      <c r="C168" s="93" t="s">
        <v>57</v>
      </c>
      <c r="H168" s="82">
        <f t="shared" ref="H168:O168" si="79">+H80</f>
        <v>21450.827999999998</v>
      </c>
      <c r="I168" s="82">
        <f t="shared" si="79"/>
        <v>23016.32775</v>
      </c>
      <c r="J168" s="82">
        <f t="shared" si="79"/>
        <v>23707.90798</v>
      </c>
      <c r="K168" s="82">
        <f t="shared" si="79"/>
        <v>25421.422440000006</v>
      </c>
      <c r="L168" s="82">
        <f t="shared" si="79"/>
        <v>28917.295150000002</v>
      </c>
      <c r="M168" s="82">
        <f t="shared" si="79"/>
        <v>33989.186040000001</v>
      </c>
      <c r="N168" s="82">
        <f t="shared" si="79"/>
        <v>37911.267250000004</v>
      </c>
      <c r="O168" s="82">
        <f t="shared" si="79"/>
        <v>35232.382570000002</v>
      </c>
    </row>
    <row r="169" spans="2:15" x14ac:dyDescent="0.25">
      <c r="B169" s="26" t="s">
        <v>179</v>
      </c>
      <c r="C169" s="269" t="s">
        <v>179</v>
      </c>
      <c r="D169" s="254"/>
      <c r="E169" s="254"/>
      <c r="F169" s="223"/>
      <c r="G169" s="223"/>
      <c r="H169" s="270">
        <f>H94</f>
        <v>12589.394834258881</v>
      </c>
      <c r="I169" s="270">
        <f t="shared" ref="I169:O169" si="80">I94</f>
        <v>21038.291006509182</v>
      </c>
      <c r="J169" s="270">
        <f t="shared" si="80"/>
        <v>23636.678573325822</v>
      </c>
      <c r="K169" s="270">
        <f t="shared" si="80"/>
        <v>72412.234315519396</v>
      </c>
      <c r="L169" s="270">
        <f t="shared" si="80"/>
        <v>118988.68317098962</v>
      </c>
      <c r="M169" s="270">
        <f t="shared" si="80"/>
        <v>70542.048877286419</v>
      </c>
      <c r="N169" s="270">
        <f t="shared" si="80"/>
        <v>79304.925557843337</v>
      </c>
      <c r="O169" s="270">
        <f t="shared" si="80"/>
        <v>92174.182244475451</v>
      </c>
    </row>
    <row r="170" spans="2:15" ht="13" x14ac:dyDescent="0.3">
      <c r="B170" s="204" t="s">
        <v>180</v>
      </c>
      <c r="C170" s="201"/>
      <c r="D170" s="202"/>
      <c r="E170" s="202"/>
      <c r="F170" s="201"/>
      <c r="G170" s="201"/>
      <c r="H170" s="203"/>
      <c r="I170" s="203"/>
      <c r="J170" s="203"/>
      <c r="K170" s="203"/>
      <c r="L170" s="203"/>
      <c r="M170" s="203"/>
      <c r="N170" s="203"/>
      <c r="O170" s="203"/>
    </row>
    <row r="171" spans="2:15" x14ac:dyDescent="0.25">
      <c r="B171" s="26" t="s">
        <v>178</v>
      </c>
      <c r="C171" s="93" t="s">
        <v>191</v>
      </c>
      <c r="H171" s="82">
        <f t="shared" ref="H171:O171" si="81">+H34</f>
        <v>35793.610487596074</v>
      </c>
      <c r="I171" s="82">
        <f t="shared" si="81"/>
        <v>40120.095106208806</v>
      </c>
      <c r="J171" s="82">
        <f t="shared" si="81"/>
        <v>35207.711281471195</v>
      </c>
      <c r="K171" s="82">
        <f t="shared" si="81"/>
        <v>38748.463930663733</v>
      </c>
      <c r="L171" s="82">
        <f t="shared" si="81"/>
        <v>39755.835560798412</v>
      </c>
      <c r="M171" s="82">
        <f t="shared" si="81"/>
        <v>37346.52209939935</v>
      </c>
      <c r="N171" s="82">
        <f t="shared" si="81"/>
        <v>40398.735351443465</v>
      </c>
      <c r="O171" s="82">
        <f t="shared" si="81"/>
        <v>41458.578089206436</v>
      </c>
    </row>
    <row r="172" spans="2:15" x14ac:dyDescent="0.25">
      <c r="B172" s="26" t="s">
        <v>57</v>
      </c>
      <c r="C172" s="93" t="s">
        <v>57</v>
      </c>
      <c r="H172" s="82">
        <f t="shared" ref="H172:O172" si="82">+H81</f>
        <v>19818.853820792479</v>
      </c>
      <c r="I172" s="82">
        <f t="shared" si="82"/>
        <v>22934.095334758731</v>
      </c>
      <c r="J172" s="82">
        <f t="shared" si="82"/>
        <v>24122.538927787868</v>
      </c>
      <c r="K172" s="82">
        <f t="shared" si="82"/>
        <v>27543.524203508197</v>
      </c>
      <c r="L172" s="82">
        <f t="shared" si="82"/>
        <v>29585.271793827902</v>
      </c>
      <c r="M172" s="82">
        <f t="shared" si="82"/>
        <v>31939.817573721513</v>
      </c>
      <c r="N172" s="82">
        <f t="shared" si="82"/>
        <v>37718.269262390764</v>
      </c>
      <c r="O172" s="82">
        <f t="shared" si="82"/>
        <v>35024.515453531058</v>
      </c>
    </row>
    <row r="173" spans="2:15" x14ac:dyDescent="0.25">
      <c r="B173" s="26" t="s">
        <v>179</v>
      </c>
      <c r="C173" s="269" t="s">
        <v>179</v>
      </c>
      <c r="D173" s="254"/>
      <c r="E173" s="254"/>
      <c r="F173" s="223"/>
      <c r="G173" s="223"/>
      <c r="H173" s="270">
        <f>+H95</f>
        <v>11978.357716103719</v>
      </c>
      <c r="I173" s="270">
        <f t="shared" ref="I173:O173" si="83">+I95</f>
        <v>15510.489109914331</v>
      </c>
      <c r="J173" s="270">
        <f t="shared" si="83"/>
        <v>23392.757818743554</v>
      </c>
      <c r="K173" s="270">
        <f t="shared" si="83"/>
        <v>62492.8586559299</v>
      </c>
      <c r="L173" s="270">
        <f t="shared" si="83"/>
        <v>157059.43057407302</v>
      </c>
      <c r="M173" s="270">
        <f t="shared" si="83"/>
        <v>117261.87414546934</v>
      </c>
      <c r="N173" s="270">
        <f t="shared" si="83"/>
        <v>62574.09689494456</v>
      </c>
      <c r="O173" s="270">
        <f t="shared" si="83"/>
        <v>73146.472368869378</v>
      </c>
    </row>
    <row r="174" spans="2:15" x14ac:dyDescent="0.25">
      <c r="H174" s="8"/>
      <c r="I174" s="8"/>
      <c r="J174" s="8"/>
      <c r="K174" s="8"/>
      <c r="L174" s="8"/>
      <c r="M174" s="8"/>
      <c r="N174" s="8"/>
      <c r="O174" s="8"/>
    </row>
    <row r="175" spans="2:15" ht="13" x14ac:dyDescent="0.3">
      <c r="B175" s="24" t="s">
        <v>190</v>
      </c>
      <c r="C175" s="16"/>
      <c r="D175" s="73"/>
      <c r="E175" s="73"/>
      <c r="F175" s="16"/>
      <c r="G175" s="16"/>
      <c r="H175" s="196"/>
      <c r="I175" s="196"/>
      <c r="J175" s="196"/>
      <c r="K175" s="196"/>
      <c r="L175" s="196"/>
      <c r="M175" s="196"/>
      <c r="N175" s="196"/>
      <c r="O175" s="196"/>
    </row>
    <row r="176" spans="2:15" ht="13" x14ac:dyDescent="0.3">
      <c r="B176" s="32" t="s">
        <v>184</v>
      </c>
      <c r="C176" s="25"/>
      <c r="H176" s="8"/>
      <c r="I176" s="8"/>
      <c r="J176" s="8"/>
      <c r="K176" s="8"/>
      <c r="L176" s="8"/>
      <c r="M176" s="8"/>
      <c r="N176" s="8"/>
      <c r="O176" s="8"/>
    </row>
    <row r="177" spans="2:15" x14ac:dyDescent="0.25">
      <c r="C177" s="25" t="s">
        <v>185</v>
      </c>
      <c r="D177" s="6" t="s">
        <v>149</v>
      </c>
      <c r="H177" s="197">
        <f>SUM(H137:H139)/SUM(H141:H143)</f>
        <v>1.0164252206606064</v>
      </c>
      <c r="I177" s="197">
        <f t="shared" ref="I177:N177" si="84">SUM(I137:I139)/SUM(I141:I143)</f>
        <v>1.1312412297183811</v>
      </c>
      <c r="J177" s="197">
        <f>SUM(J137:J139)/SUM(J141:J143)</f>
        <v>1.0386543263057166</v>
      </c>
      <c r="K177" s="197">
        <f t="shared" si="84"/>
        <v>1.5306025140801214</v>
      </c>
      <c r="L177" s="197">
        <f t="shared" si="84"/>
        <v>1.6834288516345264</v>
      </c>
      <c r="M177" s="197">
        <f t="shared" si="84"/>
        <v>1.0103078917038466</v>
      </c>
      <c r="N177" s="197">
        <f t="shared" si="84"/>
        <v>0.97753976876299198</v>
      </c>
      <c r="O177" s="197">
        <f>SUM(O137:O139)/SUM(O141:O143)</f>
        <v>0.93941288366751574</v>
      </c>
    </row>
    <row r="178" spans="2:15" x14ac:dyDescent="0.25">
      <c r="C178" s="25" t="s">
        <v>186</v>
      </c>
      <c r="D178" s="6" t="s">
        <v>149</v>
      </c>
      <c r="H178" s="197">
        <f>SUM(H157:H159)/SUM(H161:H163)</f>
        <v>1.0142772079529201</v>
      </c>
      <c r="I178" s="197">
        <f t="shared" ref="I178:N178" si="85">SUM(I157:I159)/SUM(I161:I163)</f>
        <v>1.1284066685912966</v>
      </c>
      <c r="J178" s="197">
        <f t="shared" si="85"/>
        <v>1.0122051915041475</v>
      </c>
      <c r="K178" s="197">
        <f t="shared" si="85"/>
        <v>1.6085463102059934</v>
      </c>
      <c r="L178" s="197">
        <f t="shared" si="85"/>
        <v>1.5880148288111247</v>
      </c>
      <c r="M178" s="197">
        <f t="shared" si="85"/>
        <v>1.0180142643573309</v>
      </c>
      <c r="N178" s="197">
        <f t="shared" si="85"/>
        <v>0.97068817132912977</v>
      </c>
      <c r="O178" s="197">
        <f>SUM(O157:O159)/SUM(O161:O163)</f>
        <v>0.940354615177172</v>
      </c>
    </row>
    <row r="179" spans="2:15" x14ac:dyDescent="0.25">
      <c r="C179" s="25" t="s">
        <v>187</v>
      </c>
      <c r="D179" s="6" t="s">
        <v>149</v>
      </c>
      <c r="H179" s="197">
        <f>SQRT(H177*H178)</f>
        <v>1.0153506462816531</v>
      </c>
      <c r="I179" s="197">
        <f t="shared" ref="I179:N179" si="86">SQRT(I177*I178)</f>
        <v>1.1298230602176784</v>
      </c>
      <c r="J179" s="197">
        <f t="shared" si="86"/>
        <v>1.0253444793165314</v>
      </c>
      <c r="K179" s="197">
        <f t="shared" si="86"/>
        <v>1.56909050931283</v>
      </c>
      <c r="L179" s="197">
        <f t="shared" si="86"/>
        <v>1.6350259874522211</v>
      </c>
      <c r="M179" s="197">
        <f t="shared" si="86"/>
        <v>1.0141537581389211</v>
      </c>
      <c r="N179" s="197">
        <f t="shared" si="86"/>
        <v>0.97410794604194106</v>
      </c>
      <c r="O179" s="197">
        <f>SQRT(O177*O178)</f>
        <v>0.93988363147447362</v>
      </c>
    </row>
    <row r="180" spans="2:15" x14ac:dyDescent="0.25">
      <c r="C180" s="25" t="s">
        <v>188</v>
      </c>
      <c r="D180" s="10" t="s">
        <v>39</v>
      </c>
      <c r="H180" s="245">
        <f>LN(H179)</f>
        <v>1.5234017151592748E-2</v>
      </c>
      <c r="I180" s="245">
        <f t="shared" ref="I180:O180" si="87">LN(I179)</f>
        <v>0.12206103658555317</v>
      </c>
      <c r="J180" s="245">
        <f t="shared" si="87"/>
        <v>2.5028633510999904E-2</v>
      </c>
      <c r="K180" s="245">
        <f t="shared" si="87"/>
        <v>0.45049615807363036</v>
      </c>
      <c r="L180" s="245">
        <f t="shared" si="87"/>
        <v>0.49165869868909129</v>
      </c>
      <c r="M180" s="245">
        <f t="shared" si="87"/>
        <v>1.4054528919013926E-2</v>
      </c>
      <c r="N180" s="245">
        <f t="shared" si="87"/>
        <v>-2.6233153922061041E-2</v>
      </c>
      <c r="O180" s="245">
        <f t="shared" si="87"/>
        <v>-6.1999207685233822E-2</v>
      </c>
    </row>
    <row r="181" spans="2:15" x14ac:dyDescent="0.25">
      <c r="B181" s="26"/>
      <c r="C181" s="26"/>
      <c r="H181" s="88"/>
      <c r="I181" s="88"/>
      <c r="J181" s="88"/>
      <c r="K181" s="89"/>
      <c r="L181" s="89"/>
      <c r="M181" s="89"/>
      <c r="N181" s="89"/>
      <c r="O181" s="89"/>
    </row>
    <row r="182" spans="2:15" ht="13" x14ac:dyDescent="0.3">
      <c r="B182" s="32" t="s">
        <v>189</v>
      </c>
      <c r="C182" s="25"/>
    </row>
    <row r="183" spans="2:15" x14ac:dyDescent="0.25">
      <c r="C183" s="25" t="s">
        <v>185</v>
      </c>
      <c r="D183" s="6" t="s">
        <v>149</v>
      </c>
      <c r="H183" s="91">
        <f t="shared" ref="H183:O183" si="88">SUM(H147:H149)/SUM(H151:H153)</f>
        <v>1.0296820837738558</v>
      </c>
      <c r="I183" s="91">
        <f t="shared" si="88"/>
        <v>1.0162896938677077</v>
      </c>
      <c r="J183" s="91">
        <f t="shared" si="88"/>
        <v>1.0437067666824176</v>
      </c>
      <c r="K183" s="91">
        <f t="shared" si="88"/>
        <v>0.99368052034314835</v>
      </c>
      <c r="L183" s="91">
        <f t="shared" si="88"/>
        <v>0.86456989280244545</v>
      </c>
      <c r="M183" s="91">
        <f t="shared" si="88"/>
        <v>0.76566885581621158</v>
      </c>
      <c r="N183" s="91">
        <f t="shared" si="88"/>
        <v>1.1401158184508231</v>
      </c>
      <c r="O183" s="91">
        <f t="shared" si="88"/>
        <v>1.1375313711564152</v>
      </c>
    </row>
    <row r="184" spans="2:15" x14ac:dyDescent="0.25">
      <c r="C184" s="25" t="s">
        <v>186</v>
      </c>
      <c r="D184" s="6" t="s">
        <v>149</v>
      </c>
      <c r="H184" s="91">
        <f t="shared" ref="H184:O184" si="89">SUM(H167:H169)/SUM(H171:H173)</f>
        <v>1.0275060553205424</v>
      </c>
      <c r="I184" s="91">
        <f t="shared" si="89"/>
        <v>1.0137431678179003</v>
      </c>
      <c r="J184" s="91">
        <f t="shared" si="89"/>
        <v>1.01712897244795</v>
      </c>
      <c r="K184" s="91">
        <f t="shared" si="89"/>
        <v>1.0442823135451047</v>
      </c>
      <c r="L184" s="91">
        <f t="shared" si="89"/>
        <v>0.81556747051166512</v>
      </c>
      <c r="M184" s="91">
        <f t="shared" si="89"/>
        <v>0.77150918387911083</v>
      </c>
      <c r="N184" s="91">
        <f t="shared" si="89"/>
        <v>1.1321247219597941</v>
      </c>
      <c r="O184" s="91">
        <f t="shared" si="89"/>
        <v>1.1386717101426747</v>
      </c>
    </row>
    <row r="185" spans="2:15" x14ac:dyDescent="0.25">
      <c r="C185" s="25" t="s">
        <v>187</v>
      </c>
      <c r="D185" s="6" t="s">
        <v>149</v>
      </c>
      <c r="H185" s="91">
        <f t="shared" ref="H185:O185" si="90">SQRT(H183*H184)</f>
        <v>1.0285934941135448</v>
      </c>
      <c r="I185" s="91">
        <f t="shared" si="90"/>
        <v>1.0150156322353534</v>
      </c>
      <c r="J185" s="91">
        <f t="shared" si="90"/>
        <v>1.0303321751419101</v>
      </c>
      <c r="K185" s="91">
        <f t="shared" si="90"/>
        <v>1.0186672630003608</v>
      </c>
      <c r="L185" s="91">
        <f t="shared" si="90"/>
        <v>0.83971130786326309</v>
      </c>
      <c r="M185" s="91">
        <f t="shared" si="90"/>
        <v>0.76858347241689884</v>
      </c>
      <c r="N185" s="91">
        <f t="shared" si="90"/>
        <v>1.1361132443403699</v>
      </c>
      <c r="O185" s="91">
        <f t="shared" si="90"/>
        <v>1.1381013978269321</v>
      </c>
    </row>
    <row r="186" spans="2:15" x14ac:dyDescent="0.25">
      <c r="C186" s="25" t="s">
        <v>188</v>
      </c>
      <c r="D186" s="10" t="s">
        <v>39</v>
      </c>
      <c r="H186" s="92">
        <f t="shared" ref="H186:O186" si="91">LN(H185)</f>
        <v>2.819232934698318E-2</v>
      </c>
      <c r="I186" s="92">
        <f t="shared" si="91"/>
        <v>1.490401359225008E-2</v>
      </c>
      <c r="J186" s="92">
        <f t="shared" si="91"/>
        <v>2.988125038732976E-2</v>
      </c>
      <c r="K186" s="92">
        <f t="shared" si="91"/>
        <v>1.849516804210638E-2</v>
      </c>
      <c r="L186" s="92">
        <f t="shared" si="91"/>
        <v>-0.17469712733183018</v>
      </c>
      <c r="M186" s="92">
        <f t="shared" si="91"/>
        <v>-0.26320610457349092</v>
      </c>
      <c r="N186" s="92">
        <f t="shared" si="91"/>
        <v>0.12761300224988853</v>
      </c>
      <c r="O186" s="92">
        <f t="shared" si="91"/>
        <v>0.12936143351594667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ADA9-5B78-4523-91BC-9C9A4948645B}">
  <dimension ref="B1:P1036"/>
  <sheetViews>
    <sheetView showGridLines="0" zoomScale="70" zoomScaleNormal="70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B6" sqref="B6:P6"/>
    </sheetView>
  </sheetViews>
  <sheetFormatPr defaultColWidth="11.33203125" defaultRowHeight="12.5" outlineLevelRow="1" x14ac:dyDescent="0.25"/>
  <cols>
    <col min="1" max="1" width="6.25" style="4" customWidth="1"/>
    <col min="2" max="2" width="1.33203125" style="4" customWidth="1"/>
    <col min="3" max="3" width="40.08203125" style="4" customWidth="1"/>
    <col min="4" max="5" width="11.33203125" style="4"/>
    <col min="6" max="6" width="12.83203125" style="4" customWidth="1"/>
    <col min="7" max="7" width="4.08203125" style="4" customWidth="1"/>
    <col min="8" max="16384" width="11.33203125" style="4"/>
  </cols>
  <sheetData>
    <row r="1" spans="2:16" s="58" customFormat="1" ht="13" x14ac:dyDescent="0.3">
      <c r="D1" s="59"/>
      <c r="E1" s="59"/>
      <c r="G1" s="63"/>
      <c r="H1" s="60">
        <v>2011</v>
      </c>
      <c r="I1" s="60">
        <f t="shared" ref="I1:P1" si="0">+H1+1</f>
        <v>2012</v>
      </c>
      <c r="J1" s="60">
        <f t="shared" si="0"/>
        <v>2013</v>
      </c>
      <c r="K1" s="60">
        <f t="shared" si="0"/>
        <v>2014</v>
      </c>
      <c r="L1" s="60">
        <f t="shared" si="0"/>
        <v>2015</v>
      </c>
      <c r="M1" s="60">
        <f t="shared" si="0"/>
        <v>2016</v>
      </c>
      <c r="N1" s="60">
        <f t="shared" si="0"/>
        <v>2017</v>
      </c>
      <c r="O1" s="60">
        <f t="shared" si="0"/>
        <v>2018</v>
      </c>
      <c r="P1" s="60">
        <f t="shared" si="0"/>
        <v>2019</v>
      </c>
    </row>
    <row r="2" spans="2:16" s="58" customFormat="1" ht="13" x14ac:dyDescent="0.3">
      <c r="B2" s="61"/>
      <c r="C2" s="61"/>
      <c r="D2" s="62" t="s">
        <v>2</v>
      </c>
      <c r="E2" s="62" t="s">
        <v>30</v>
      </c>
      <c r="F2" s="62" t="s">
        <v>0</v>
      </c>
      <c r="G2" s="61"/>
      <c r="H2" s="61"/>
      <c r="I2" s="61"/>
      <c r="J2" s="61"/>
      <c r="K2" s="61"/>
      <c r="L2" s="61"/>
      <c r="M2" s="61"/>
      <c r="N2" s="61"/>
      <c r="O2" s="61"/>
      <c r="P2" s="61"/>
    </row>
    <row r="4" spans="2:16" ht="13" x14ac:dyDescent="0.3">
      <c r="B4" s="61" t="s">
        <v>469</v>
      </c>
      <c r="C4" s="61"/>
      <c r="D4" s="62"/>
      <c r="E4" s="6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6" spans="2:16" ht="13" x14ac:dyDescent="0.3">
      <c r="B6" s="411" t="s">
        <v>579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8" spans="2:16" ht="13" x14ac:dyDescent="0.3">
      <c r="B8" s="3" t="s">
        <v>470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10" spans="2:16" ht="13" x14ac:dyDescent="0.3">
      <c r="B10" s="7" t="s">
        <v>467</v>
      </c>
    </row>
    <row r="11" spans="2:16" hidden="1" outlineLevel="1" x14ac:dyDescent="0.25">
      <c r="C11" s="4" t="s">
        <v>468</v>
      </c>
      <c r="D11" s="6" t="s">
        <v>322</v>
      </c>
      <c r="E11" s="6" t="s">
        <v>56</v>
      </c>
      <c r="F11" s="67">
        <f t="shared" ref="F11:F12" si="1">+SUM(H11:P11)</f>
        <v>30527.949000000001</v>
      </c>
      <c r="H11" s="67">
        <f>Capex!F9</f>
        <v>30527.949000000001</v>
      </c>
      <c r="I11" s="67">
        <f>Capex!G9</f>
        <v>0</v>
      </c>
      <c r="J11" s="67">
        <f>Capex!H9</f>
        <v>0</v>
      </c>
      <c r="K11" s="67">
        <f>Capex!I9</f>
        <v>0</v>
      </c>
      <c r="L11" s="67">
        <f>Capex!J9</f>
        <v>0</v>
      </c>
      <c r="M11" s="67">
        <f>Capex!K9</f>
        <v>0</v>
      </c>
      <c r="N11" s="67">
        <f>Capex!L9</f>
        <v>0</v>
      </c>
      <c r="O11" s="67">
        <f>Capex!M9</f>
        <v>0</v>
      </c>
      <c r="P11" s="67">
        <f>Capex!N9</f>
        <v>0</v>
      </c>
    </row>
    <row r="12" spans="2:16" hidden="1" outlineLevel="1" x14ac:dyDescent="0.25">
      <c r="C12" s="4" t="s">
        <v>64</v>
      </c>
      <c r="D12" s="6" t="s">
        <v>322</v>
      </c>
      <c r="E12" s="6" t="s">
        <v>56</v>
      </c>
      <c r="F12" s="67">
        <f t="shared" si="1"/>
        <v>27780.819</v>
      </c>
      <c r="H12" s="67">
        <f>+Capex!F10</f>
        <v>27780.819</v>
      </c>
      <c r="I12" s="67">
        <f>+Capex!G10</f>
        <v>0</v>
      </c>
      <c r="J12" s="67">
        <f>+Capex!H10</f>
        <v>0</v>
      </c>
      <c r="K12" s="67">
        <f>+Capex!I10</f>
        <v>0</v>
      </c>
      <c r="L12" s="67">
        <f>+Capex!J10</f>
        <v>0</v>
      </c>
      <c r="M12" s="67">
        <f>+Capex!K10</f>
        <v>0</v>
      </c>
      <c r="N12" s="67">
        <f>+Capex!L10</f>
        <v>0</v>
      </c>
      <c r="O12" s="67">
        <f>+Capex!M10</f>
        <v>0</v>
      </c>
      <c r="P12" s="67">
        <f>+Capex!N10</f>
        <v>0</v>
      </c>
    </row>
    <row r="13" spans="2:16" collapsed="1" x14ac:dyDescent="0.25"/>
    <row r="14" spans="2:16" ht="13" x14ac:dyDescent="0.3">
      <c r="B14" s="7" t="s">
        <v>324</v>
      </c>
    </row>
    <row r="15" spans="2:16" hidden="1" outlineLevel="1" x14ac:dyDescent="0.25">
      <c r="C15" s="4" t="s">
        <v>317</v>
      </c>
      <c r="D15" s="6" t="s">
        <v>322</v>
      </c>
      <c r="E15" s="6" t="s">
        <v>56</v>
      </c>
      <c r="F15" s="67">
        <f t="shared" ref="F15:F18" si="2">+SUM(H15:P15)</f>
        <v>5.1618023271604931</v>
      </c>
      <c r="H15" s="67">
        <f>Capex!F13</f>
        <v>0</v>
      </c>
      <c r="I15" s="67">
        <f>Capex!G13</f>
        <v>5.1617979509202447</v>
      </c>
      <c r="J15" s="67">
        <f>Capex!H13</f>
        <v>4.3762402483480399E-6</v>
      </c>
      <c r="K15" s="67">
        <f>Capex!I13</f>
        <v>0</v>
      </c>
      <c r="L15" s="67">
        <f>Capex!J13</f>
        <v>0</v>
      </c>
      <c r="M15" s="67">
        <f>Capex!K13</f>
        <v>0</v>
      </c>
      <c r="N15" s="67">
        <f>Capex!L13</f>
        <v>0</v>
      </c>
      <c r="O15" s="67">
        <f>Capex!M13</f>
        <v>0</v>
      </c>
      <c r="P15" s="67">
        <f>Capex!N13</f>
        <v>0</v>
      </c>
    </row>
    <row r="16" spans="2:16" hidden="1" outlineLevel="1" x14ac:dyDescent="0.25">
      <c r="C16" s="4" t="s">
        <v>318</v>
      </c>
      <c r="D16" s="6" t="s">
        <v>322</v>
      </c>
      <c r="E16" s="6" t="s">
        <v>56</v>
      </c>
      <c r="F16" s="67">
        <f t="shared" si="2"/>
        <v>2.5200576728395063</v>
      </c>
      <c r="H16" s="67">
        <f>Capex!F14</f>
        <v>0</v>
      </c>
      <c r="I16" s="67">
        <f>Capex!G14</f>
        <v>2.5200576728395063</v>
      </c>
      <c r="J16" s="67">
        <f>Capex!H14</f>
        <v>0</v>
      </c>
      <c r="K16" s="67">
        <f>Capex!I14</f>
        <v>0</v>
      </c>
      <c r="L16" s="67">
        <f>Capex!J14</f>
        <v>0</v>
      </c>
      <c r="M16" s="67">
        <f>Capex!K14</f>
        <v>0</v>
      </c>
      <c r="N16" s="67">
        <f>Capex!L14</f>
        <v>0</v>
      </c>
      <c r="O16" s="67">
        <f>Capex!M14</f>
        <v>0</v>
      </c>
      <c r="P16" s="67">
        <f>Capex!N14</f>
        <v>0</v>
      </c>
    </row>
    <row r="17" spans="2:16" hidden="1" outlineLevel="1" x14ac:dyDescent="0.25">
      <c r="C17" s="4" t="s">
        <v>319</v>
      </c>
      <c r="D17" s="6" t="s">
        <v>322</v>
      </c>
      <c r="E17" s="6" t="s">
        <v>56</v>
      </c>
      <c r="F17" s="67">
        <f t="shared" si="2"/>
        <v>258.64859999999999</v>
      </c>
      <c r="H17" s="67">
        <f>Capex!F15</f>
        <v>0</v>
      </c>
      <c r="I17" s="67">
        <f>Capex!G15</f>
        <v>0</v>
      </c>
      <c r="J17" s="67">
        <f>Capex!H15</f>
        <v>258.64859999999999</v>
      </c>
      <c r="K17" s="67">
        <f>Capex!I15</f>
        <v>0</v>
      </c>
      <c r="L17" s="67">
        <f>Capex!J15</f>
        <v>0</v>
      </c>
      <c r="M17" s="67">
        <f>Capex!K15</f>
        <v>0</v>
      </c>
      <c r="N17" s="67">
        <f>Capex!L15</f>
        <v>0</v>
      </c>
      <c r="O17" s="67">
        <f>Capex!M15</f>
        <v>0</v>
      </c>
      <c r="P17" s="67">
        <f>Capex!N15</f>
        <v>0</v>
      </c>
    </row>
    <row r="18" spans="2:16" hidden="1" outlineLevel="1" x14ac:dyDescent="0.25">
      <c r="C18" s="4" t="s">
        <v>321</v>
      </c>
      <c r="D18" s="6" t="s">
        <v>322</v>
      </c>
      <c r="E18" s="6" t="s">
        <v>56</v>
      </c>
      <c r="F18" s="67">
        <f t="shared" si="2"/>
        <v>8.35</v>
      </c>
      <c r="H18" s="67">
        <f>Capex!F16</f>
        <v>0</v>
      </c>
      <c r="I18" s="67">
        <f>Capex!G16</f>
        <v>0</v>
      </c>
      <c r="J18" s="67">
        <f>Capex!H16</f>
        <v>0</v>
      </c>
      <c r="K18" s="67">
        <f>Capex!I16</f>
        <v>0</v>
      </c>
      <c r="L18" s="67">
        <f>Capex!J16</f>
        <v>0</v>
      </c>
      <c r="M18" s="67">
        <f>Capex!K16</f>
        <v>8.35</v>
      </c>
      <c r="N18" s="67">
        <f>Capex!L16</f>
        <v>0</v>
      </c>
      <c r="O18" s="67">
        <f>Capex!M16</f>
        <v>0</v>
      </c>
      <c r="P18" s="67">
        <f>Capex!N16</f>
        <v>0</v>
      </c>
    </row>
    <row r="19" spans="2:16" hidden="1" outlineLevel="1" x14ac:dyDescent="0.25">
      <c r="C19" s="223" t="s">
        <v>344</v>
      </c>
      <c r="D19" s="254" t="s">
        <v>322</v>
      </c>
      <c r="E19" s="254" t="s">
        <v>56</v>
      </c>
      <c r="F19" s="255">
        <f t="shared" ref="F19:F22" si="3">+SUM(H19:P19)</f>
        <v>86.981780000000001</v>
      </c>
      <c r="G19" s="223"/>
      <c r="H19" s="255">
        <f>Capex!F17</f>
        <v>57.362012569334681</v>
      </c>
      <c r="I19" s="255">
        <f>Capex!G17</f>
        <v>38.883344288661903</v>
      </c>
      <c r="J19" s="255">
        <f>Capex!H17</f>
        <v>117.98591314200341</v>
      </c>
      <c r="K19" s="255">
        <f>Capex!I17</f>
        <v>-9.5140000000013963E-2</v>
      </c>
      <c r="L19" s="255">
        <f>Capex!J17</f>
        <v>0</v>
      </c>
      <c r="M19" s="255">
        <f>Capex!K17</f>
        <v>0</v>
      </c>
      <c r="N19" s="255">
        <f>Capex!L17</f>
        <v>0</v>
      </c>
      <c r="O19" s="255">
        <f>Capex!M17</f>
        <v>0</v>
      </c>
      <c r="P19" s="255">
        <f>Capex!N17</f>
        <v>-127.15434999999998</v>
      </c>
    </row>
    <row r="20" spans="2:16" hidden="1" outlineLevel="1" x14ac:dyDescent="0.25">
      <c r="C20" s="223" t="s">
        <v>345</v>
      </c>
      <c r="D20" s="254" t="s">
        <v>322</v>
      </c>
      <c r="E20" s="254" t="s">
        <v>56</v>
      </c>
      <c r="F20" s="255">
        <f t="shared" si="3"/>
        <v>1062.4063100000005</v>
      </c>
      <c r="G20" s="223"/>
      <c r="H20" s="255">
        <f>Capex!F18</f>
        <v>231.24745976239771</v>
      </c>
      <c r="I20" s="255">
        <f>Capex!G18</f>
        <v>721.34354175930457</v>
      </c>
      <c r="J20" s="255">
        <f>Capex!H18</f>
        <v>365.43634847829782</v>
      </c>
      <c r="K20" s="255">
        <f>Capex!I18</f>
        <v>91.786659999999912</v>
      </c>
      <c r="L20" s="255">
        <f>Capex!J18</f>
        <v>37.030709999999964</v>
      </c>
      <c r="M20" s="255">
        <f>Capex!K18</f>
        <v>-9.2702999999998141</v>
      </c>
      <c r="N20" s="255">
        <f>Capex!L18</f>
        <v>0</v>
      </c>
      <c r="O20" s="255">
        <f>Capex!M18</f>
        <v>0</v>
      </c>
      <c r="P20" s="255">
        <f>Capex!N18</f>
        <v>-375.16810999999961</v>
      </c>
    </row>
    <row r="21" spans="2:16" hidden="1" outlineLevel="1" x14ac:dyDescent="0.25">
      <c r="C21" s="223" t="s">
        <v>346</v>
      </c>
      <c r="D21" s="254" t="s">
        <v>322</v>
      </c>
      <c r="E21" s="254" t="s">
        <v>56</v>
      </c>
      <c r="F21" s="255">
        <f t="shared" si="3"/>
        <v>73.098970000000008</v>
      </c>
      <c r="G21" s="223"/>
      <c r="H21" s="255">
        <f>Capex!F19</f>
        <v>0</v>
      </c>
      <c r="I21" s="255">
        <f>Capex!G19</f>
        <v>67.228970000000004</v>
      </c>
      <c r="J21" s="255">
        <f>Capex!H19</f>
        <v>0</v>
      </c>
      <c r="K21" s="255">
        <f>Capex!I19</f>
        <v>0</v>
      </c>
      <c r="L21" s="255">
        <f>Capex!J19</f>
        <v>0</v>
      </c>
      <c r="M21" s="255">
        <f>Capex!K19</f>
        <v>5.87</v>
      </c>
      <c r="N21" s="255">
        <f>Capex!L19</f>
        <v>0</v>
      </c>
      <c r="O21" s="255">
        <f>Capex!M19</f>
        <v>0</v>
      </c>
      <c r="P21" s="255">
        <f>Capex!N19</f>
        <v>0</v>
      </c>
    </row>
    <row r="22" spans="2:16" hidden="1" outlineLevel="1" x14ac:dyDescent="0.25">
      <c r="C22" s="223" t="s">
        <v>347</v>
      </c>
      <c r="D22" s="254" t="s">
        <v>322</v>
      </c>
      <c r="E22" s="254" t="s">
        <v>56</v>
      </c>
      <c r="F22" s="255">
        <f t="shared" si="3"/>
        <v>1047.70253</v>
      </c>
      <c r="G22" s="223"/>
      <c r="H22" s="255">
        <f>Capex!F20</f>
        <v>189.00256055125357</v>
      </c>
      <c r="I22" s="255">
        <f>Capex!G20</f>
        <v>163.22445931117645</v>
      </c>
      <c r="J22" s="255">
        <f>Capex!H20</f>
        <v>153.56763013756998</v>
      </c>
      <c r="K22" s="255">
        <f>Capex!I20</f>
        <v>109.07793999999994</v>
      </c>
      <c r="L22" s="255">
        <f>Capex!J20</f>
        <v>382.54705999999999</v>
      </c>
      <c r="M22" s="255">
        <f>Capex!K20</f>
        <v>51.67</v>
      </c>
      <c r="N22" s="255">
        <f>Capex!L20</f>
        <v>0</v>
      </c>
      <c r="O22" s="255">
        <f>Capex!M20</f>
        <v>0</v>
      </c>
      <c r="P22" s="255">
        <f>Capex!N20</f>
        <v>-1.3871199999998789</v>
      </c>
    </row>
    <row r="23" spans="2:16" collapsed="1" x14ac:dyDescent="0.25">
      <c r="D23" s="6"/>
      <c r="E23" s="6"/>
      <c r="F23" s="67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" x14ac:dyDescent="0.3">
      <c r="B24" s="7" t="s">
        <v>320</v>
      </c>
      <c r="C24" s="71"/>
      <c r="D24" s="76"/>
      <c r="E24" s="76"/>
      <c r="F24" s="69"/>
      <c r="H24" s="8"/>
      <c r="I24" s="8"/>
      <c r="J24" s="8"/>
      <c r="K24" s="8"/>
      <c r="L24" s="8"/>
      <c r="M24" s="8"/>
      <c r="N24" s="8"/>
      <c r="O24" s="8"/>
      <c r="P24" s="8"/>
    </row>
    <row r="25" spans="2:16" hidden="1" outlineLevel="1" x14ac:dyDescent="0.25">
      <c r="C25" s="71" t="s">
        <v>323</v>
      </c>
      <c r="D25" s="6" t="s">
        <v>322</v>
      </c>
      <c r="E25" s="6" t="s">
        <v>56</v>
      </c>
      <c r="F25" s="67">
        <f t="shared" ref="F25:F30" si="4">+SUM(H25:P25)</f>
        <v>192.28165000000001</v>
      </c>
      <c r="H25" s="69">
        <f>+Capex!F23</f>
        <v>0</v>
      </c>
      <c r="I25" s="69">
        <f>+Capex!G23</f>
        <v>0</v>
      </c>
      <c r="J25" s="69">
        <f>+Capex!H23</f>
        <v>136.26560000000001</v>
      </c>
      <c r="K25" s="69">
        <f>+Capex!I23</f>
        <v>22.311049999999987</v>
      </c>
      <c r="L25" s="69">
        <f>+Capex!J23</f>
        <v>0</v>
      </c>
      <c r="M25" s="69">
        <f>+Capex!K23</f>
        <v>4.2750000000000004</v>
      </c>
      <c r="N25" s="69">
        <f>+Capex!L23</f>
        <v>29.43</v>
      </c>
      <c r="O25" s="69">
        <f>+Capex!M23</f>
        <v>0</v>
      </c>
      <c r="P25" s="69">
        <f>+Capex!N23</f>
        <v>0</v>
      </c>
    </row>
    <row r="26" spans="2:16" hidden="1" outlineLevel="1" x14ac:dyDescent="0.25">
      <c r="C26" s="71" t="s">
        <v>326</v>
      </c>
      <c r="D26" s="6" t="s">
        <v>322</v>
      </c>
      <c r="E26" s="6" t="s">
        <v>56</v>
      </c>
      <c r="F26" s="67">
        <f t="shared" si="4"/>
        <v>121.11393000000001</v>
      </c>
      <c r="H26" s="69">
        <f>+Capex!F24</f>
        <v>610.32986011924845</v>
      </c>
      <c r="I26" s="69">
        <f>+Capex!G24</f>
        <v>59.624694689610159</v>
      </c>
      <c r="J26" s="69">
        <f>+Capex!H24</f>
        <v>97.025425191141437</v>
      </c>
      <c r="K26" s="69">
        <f>+Capex!I24</f>
        <v>-46.610170000000039</v>
      </c>
      <c r="L26" s="69">
        <f>+Capex!J24</f>
        <v>0</v>
      </c>
      <c r="M26" s="69">
        <f>+Capex!K24</f>
        <v>-108.47457000000007</v>
      </c>
      <c r="N26" s="69">
        <f>+Capex!L24</f>
        <v>-359.48385999999999</v>
      </c>
      <c r="O26" s="69">
        <f>+Capex!M24</f>
        <v>-131.29744999999994</v>
      </c>
      <c r="P26" s="69">
        <f>+Capex!N24</f>
        <v>0</v>
      </c>
    </row>
    <row r="27" spans="2:16" hidden="1" outlineLevel="1" x14ac:dyDescent="0.25">
      <c r="C27" s="71" t="s">
        <v>327</v>
      </c>
      <c r="D27" s="6" t="s">
        <v>322</v>
      </c>
      <c r="E27" s="6" t="s">
        <v>56</v>
      </c>
      <c r="F27" s="67">
        <f t="shared" si="4"/>
        <v>505.31751000000003</v>
      </c>
      <c r="H27" s="69">
        <f>+Capex!F25</f>
        <v>500.1293560162672</v>
      </c>
      <c r="I27" s="69">
        <f>+Capex!G25</f>
        <v>5.1881496131484743</v>
      </c>
      <c r="J27" s="69">
        <f>+Capex!H25</f>
        <v>4.3705843272618947E-6</v>
      </c>
      <c r="K27" s="69">
        <f>+Capex!I25</f>
        <v>0</v>
      </c>
      <c r="L27" s="69">
        <f>+Capex!J25</f>
        <v>0</v>
      </c>
      <c r="M27" s="69">
        <f>+Capex!K25</f>
        <v>0</v>
      </c>
      <c r="N27" s="69">
        <f>+Capex!L25</f>
        <v>0</v>
      </c>
      <c r="O27" s="69">
        <f>+Capex!M25</f>
        <v>0</v>
      </c>
      <c r="P27" s="69">
        <f>+Capex!N25</f>
        <v>0</v>
      </c>
    </row>
    <row r="28" spans="2:16" hidden="1" outlineLevel="1" x14ac:dyDescent="0.25">
      <c r="C28" s="71" t="s">
        <v>328</v>
      </c>
      <c r="D28" s="6" t="s">
        <v>322</v>
      </c>
      <c r="E28" s="6" t="s">
        <v>56</v>
      </c>
      <c r="F28" s="67">
        <f t="shared" si="4"/>
        <v>1.183819999999999</v>
      </c>
      <c r="H28" s="69">
        <f>+Capex!F26</f>
        <v>6.7727108583095594</v>
      </c>
      <c r="I28" s="69">
        <f>+Capex!G26</f>
        <v>7.0257497978907846E-2</v>
      </c>
      <c r="J28" s="69">
        <f>+Capex!H26</f>
        <v>-8.3562884674392998E-6</v>
      </c>
      <c r="K28" s="69">
        <f>+Capex!I26</f>
        <v>0</v>
      </c>
      <c r="L28" s="69">
        <f>+Capex!J26</f>
        <v>0</v>
      </c>
      <c r="M28" s="69">
        <f>+Capex!K26</f>
        <v>-5.6591400000000007</v>
      </c>
      <c r="N28" s="69">
        <f>+Capex!L26</f>
        <v>0</v>
      </c>
      <c r="O28" s="69">
        <f>+Capex!M26</f>
        <v>0</v>
      </c>
      <c r="P28" s="69">
        <f>+Capex!N26</f>
        <v>0</v>
      </c>
    </row>
    <row r="29" spans="2:16" hidden="1" outlineLevel="1" x14ac:dyDescent="0.25">
      <c r="C29" s="71" t="s">
        <v>329</v>
      </c>
      <c r="D29" s="6" t="s">
        <v>322</v>
      </c>
      <c r="E29" s="6" t="s">
        <v>56</v>
      </c>
      <c r="F29" s="67">
        <f t="shared" si="4"/>
        <v>17.647770000000001</v>
      </c>
      <c r="H29" s="69">
        <f>+Capex!F27</f>
        <v>0</v>
      </c>
      <c r="I29" s="69">
        <f>+Capex!G27</f>
        <v>17.647771040863532</v>
      </c>
      <c r="J29" s="69">
        <f>+Capex!H27</f>
        <v>-1.040863531670766E-6</v>
      </c>
      <c r="K29" s="69">
        <f>+Capex!I27</f>
        <v>0</v>
      </c>
      <c r="L29" s="69">
        <f>+Capex!J27</f>
        <v>0</v>
      </c>
      <c r="M29" s="69">
        <f>+Capex!K27</f>
        <v>0</v>
      </c>
      <c r="N29" s="69">
        <f>+Capex!L27</f>
        <v>0</v>
      </c>
      <c r="O29" s="69">
        <f>+Capex!M27</f>
        <v>0</v>
      </c>
      <c r="P29" s="69">
        <f>+Capex!N27</f>
        <v>0</v>
      </c>
    </row>
    <row r="30" spans="2:16" hidden="1" outlineLevel="1" x14ac:dyDescent="0.25">
      <c r="C30" s="71" t="s">
        <v>330</v>
      </c>
      <c r="D30" s="6" t="s">
        <v>322</v>
      </c>
      <c r="E30" s="6" t="s">
        <v>56</v>
      </c>
      <c r="F30" s="67">
        <f t="shared" si="4"/>
        <v>57.194940000000003</v>
      </c>
      <c r="H30" s="69">
        <f>+Capex!F28</f>
        <v>0</v>
      </c>
      <c r="I30" s="69">
        <f>+Capex!G28</f>
        <v>0</v>
      </c>
      <c r="J30" s="69">
        <f>+Capex!H28</f>
        <v>0</v>
      </c>
      <c r="K30" s="69">
        <f>+Capex!I28</f>
        <v>0</v>
      </c>
      <c r="L30" s="69">
        <f>+Capex!J28</f>
        <v>0</v>
      </c>
      <c r="M30" s="69">
        <f>+Capex!K28</f>
        <v>57.194940000000003</v>
      </c>
      <c r="N30" s="69">
        <f>+Capex!L28</f>
        <v>0</v>
      </c>
      <c r="O30" s="69">
        <f>+Capex!M28</f>
        <v>0</v>
      </c>
      <c r="P30" s="69">
        <f>+Capex!N28</f>
        <v>0</v>
      </c>
    </row>
    <row r="31" spans="2:16" hidden="1" outlineLevel="1" x14ac:dyDescent="0.25">
      <c r="C31" s="71" t="s">
        <v>63</v>
      </c>
      <c r="D31" s="6" t="s">
        <v>322</v>
      </c>
      <c r="E31" s="6" t="s">
        <v>56</v>
      </c>
      <c r="F31" s="67">
        <f t="shared" ref="F31:F36" si="5">+SUM(H31:P31)</f>
        <v>2413.9204999999961</v>
      </c>
      <c r="H31" s="69">
        <f>+Capex!F29</f>
        <v>250.24086251071526</v>
      </c>
      <c r="I31" s="69">
        <f>+Capex!G29</f>
        <v>117.89110392379207</v>
      </c>
      <c r="J31" s="69">
        <f>+Capex!H29</f>
        <v>34.688033565492546</v>
      </c>
      <c r="K31" s="69">
        <f>+Capex!I29</f>
        <v>38.124700000000068</v>
      </c>
      <c r="L31" s="69">
        <f>+Capex!J29</f>
        <v>165.84268999999856</v>
      </c>
      <c r="M31" s="69">
        <f>+Capex!K29</f>
        <v>266.80310000000128</v>
      </c>
      <c r="N31" s="69">
        <f>+Capex!L29</f>
        <v>908.54286000000434</v>
      </c>
      <c r="O31" s="69">
        <f>+Capex!M29</f>
        <v>180.03586000000058</v>
      </c>
      <c r="P31" s="69">
        <f>+Capex!N29</f>
        <v>451.75128999999117</v>
      </c>
    </row>
    <row r="32" spans="2:16" hidden="1" outlineLevel="1" x14ac:dyDescent="0.25">
      <c r="C32" s="4" t="s">
        <v>331</v>
      </c>
      <c r="D32" s="6" t="s">
        <v>322</v>
      </c>
      <c r="E32" s="6" t="s">
        <v>56</v>
      </c>
      <c r="F32" s="67">
        <f t="shared" si="5"/>
        <v>259.65131000000002</v>
      </c>
      <c r="H32" s="170">
        <f>+Capex!F30</f>
        <v>0</v>
      </c>
      <c r="I32" s="170">
        <f>+Capex!G30</f>
        <v>0</v>
      </c>
      <c r="J32" s="170">
        <f>+Capex!H30</f>
        <v>259.65131000000002</v>
      </c>
      <c r="K32" s="170">
        <f>+Capex!I30</f>
        <v>0</v>
      </c>
      <c r="L32" s="170">
        <f>+Capex!J30</f>
        <v>0</v>
      </c>
      <c r="M32" s="170">
        <f>+Capex!K30</f>
        <v>0</v>
      </c>
      <c r="N32" s="170">
        <f>+Capex!L30</f>
        <v>0</v>
      </c>
      <c r="O32" s="170">
        <f>+Capex!M30</f>
        <v>0</v>
      </c>
      <c r="P32" s="170">
        <f>+Capex!N30</f>
        <v>0</v>
      </c>
    </row>
    <row r="33" spans="2:16" hidden="1" outlineLevel="1" x14ac:dyDescent="0.25">
      <c r="C33" s="4" t="s">
        <v>332</v>
      </c>
      <c r="D33" s="6" t="s">
        <v>322</v>
      </c>
      <c r="E33" s="6" t="s">
        <v>56</v>
      </c>
      <c r="F33" s="67">
        <f t="shared" si="5"/>
        <v>1.0361600000000002</v>
      </c>
      <c r="H33" s="170">
        <f>+Capex!F31</f>
        <v>0</v>
      </c>
      <c r="I33" s="170">
        <f>+Capex!G31</f>
        <v>1.0361600000000002</v>
      </c>
      <c r="J33" s="170">
        <f>+Capex!H31</f>
        <v>0</v>
      </c>
      <c r="K33" s="170">
        <f>+Capex!I31</f>
        <v>0</v>
      </c>
      <c r="L33" s="170">
        <f>+Capex!J31</f>
        <v>0</v>
      </c>
      <c r="M33" s="170">
        <f>+Capex!K31</f>
        <v>0</v>
      </c>
      <c r="N33" s="170">
        <f>+Capex!L31</f>
        <v>0</v>
      </c>
      <c r="O33" s="170">
        <f>+Capex!M31</f>
        <v>0</v>
      </c>
      <c r="P33" s="170">
        <f>+Capex!N31</f>
        <v>0</v>
      </c>
    </row>
    <row r="34" spans="2:16" hidden="1" outlineLevel="1" x14ac:dyDescent="0.25">
      <c r="C34" s="4" t="s">
        <v>333</v>
      </c>
      <c r="D34" s="6" t="s">
        <v>322</v>
      </c>
      <c r="E34" s="6" t="s">
        <v>56</v>
      </c>
      <c r="F34" s="67">
        <f t="shared" si="5"/>
        <v>1.5128100000000018</v>
      </c>
      <c r="H34" s="170">
        <f>+Capex!F32</f>
        <v>0</v>
      </c>
      <c r="I34" s="170">
        <f>+Capex!G32</f>
        <v>82.321449999999984</v>
      </c>
      <c r="J34" s="170">
        <f>+Capex!H32</f>
        <v>0</v>
      </c>
      <c r="K34" s="170">
        <f>+Capex!I32</f>
        <v>-80.808639999999983</v>
      </c>
      <c r="L34" s="170">
        <f>+Capex!J32</f>
        <v>0</v>
      </c>
      <c r="M34" s="170">
        <f>+Capex!K32</f>
        <v>0</v>
      </c>
      <c r="N34" s="170">
        <f>+Capex!L32</f>
        <v>0</v>
      </c>
      <c r="O34" s="170">
        <f>+Capex!M32</f>
        <v>0</v>
      </c>
      <c r="P34" s="170">
        <f>+Capex!N32</f>
        <v>0</v>
      </c>
    </row>
    <row r="35" spans="2:16" hidden="1" outlineLevel="1" x14ac:dyDescent="0.25">
      <c r="C35" s="4" t="s">
        <v>334</v>
      </c>
      <c r="D35" s="6" t="s">
        <v>322</v>
      </c>
      <c r="E35" s="6" t="s">
        <v>56</v>
      </c>
      <c r="F35" s="67">
        <f t="shared" si="5"/>
        <v>3.121</v>
      </c>
      <c r="H35" s="170">
        <f>+Capex!F33</f>
        <v>0</v>
      </c>
      <c r="I35" s="170">
        <f>+Capex!G33</f>
        <v>3.121</v>
      </c>
      <c r="J35" s="170">
        <f>+Capex!H33</f>
        <v>0</v>
      </c>
      <c r="K35" s="170">
        <f>+Capex!I33</f>
        <v>0</v>
      </c>
      <c r="L35" s="170">
        <f>+Capex!J33</f>
        <v>0</v>
      </c>
      <c r="M35" s="170">
        <f>+Capex!K33</f>
        <v>0</v>
      </c>
      <c r="N35" s="170">
        <f>+Capex!L33</f>
        <v>0</v>
      </c>
      <c r="O35" s="170">
        <f>+Capex!M33</f>
        <v>0</v>
      </c>
      <c r="P35" s="170">
        <f>+Capex!N33</f>
        <v>0</v>
      </c>
    </row>
    <row r="36" spans="2:16" hidden="1" outlineLevel="1" x14ac:dyDescent="0.25">
      <c r="C36" s="4" t="s">
        <v>335</v>
      </c>
      <c r="D36" s="6" t="s">
        <v>322</v>
      </c>
      <c r="E36" s="6" t="s">
        <v>56</v>
      </c>
      <c r="F36" s="67">
        <f t="shared" si="5"/>
        <v>550.20005000000003</v>
      </c>
      <c r="H36" s="170">
        <f>+Capex!F34</f>
        <v>0</v>
      </c>
      <c r="I36" s="170">
        <f>+Capex!G34</f>
        <v>0</v>
      </c>
      <c r="J36" s="170">
        <f>+Capex!H34</f>
        <v>550.20005000000003</v>
      </c>
      <c r="K36" s="170">
        <f>+Capex!I34</f>
        <v>0</v>
      </c>
      <c r="L36" s="170">
        <f>+Capex!J34</f>
        <v>0</v>
      </c>
      <c r="M36" s="170">
        <f>+Capex!K34</f>
        <v>0</v>
      </c>
      <c r="N36" s="170">
        <f>+Capex!L34</f>
        <v>0</v>
      </c>
      <c r="O36" s="170">
        <f>+Capex!M34</f>
        <v>0</v>
      </c>
      <c r="P36" s="170">
        <f>+Capex!N34</f>
        <v>0</v>
      </c>
    </row>
    <row r="37" spans="2:16" hidden="1" outlineLevel="1" x14ac:dyDescent="0.25">
      <c r="C37" s="4" t="s">
        <v>336</v>
      </c>
      <c r="D37" s="6" t="s">
        <v>322</v>
      </c>
      <c r="E37" s="6" t="s">
        <v>56</v>
      </c>
      <c r="F37" s="67">
        <f t="shared" ref="F37:F51" si="6">+SUM(H37:P37)</f>
        <v>218.84014000000002</v>
      </c>
      <c r="H37" s="170">
        <f>+Capex!F35</f>
        <v>0</v>
      </c>
      <c r="I37" s="170">
        <f>+Capex!G35</f>
        <v>0</v>
      </c>
      <c r="J37" s="170">
        <f>+Capex!H35</f>
        <v>0</v>
      </c>
      <c r="K37" s="170">
        <f>+Capex!I35</f>
        <v>199.94014000000001</v>
      </c>
      <c r="L37" s="170">
        <f>+Capex!J35</f>
        <v>0</v>
      </c>
      <c r="M37" s="170">
        <f>+Capex!K35</f>
        <v>18.899999999999999</v>
      </c>
      <c r="N37" s="170">
        <f>+Capex!L35</f>
        <v>0</v>
      </c>
      <c r="O37" s="170">
        <f>+Capex!M35</f>
        <v>0</v>
      </c>
      <c r="P37" s="170">
        <f>+Capex!N35</f>
        <v>0</v>
      </c>
    </row>
    <row r="38" spans="2:16" hidden="1" outlineLevel="1" x14ac:dyDescent="0.25">
      <c r="C38" s="4" t="s">
        <v>337</v>
      </c>
      <c r="D38" s="6" t="s">
        <v>322</v>
      </c>
      <c r="E38" s="6" t="s">
        <v>56</v>
      </c>
      <c r="F38" s="67">
        <f t="shared" si="6"/>
        <v>167.67669000000001</v>
      </c>
      <c r="H38" s="170">
        <f>+Capex!F36</f>
        <v>0</v>
      </c>
      <c r="I38" s="170">
        <f>+Capex!G36</f>
        <v>0</v>
      </c>
      <c r="J38" s="170">
        <f>+Capex!H36</f>
        <v>0</v>
      </c>
      <c r="K38" s="170">
        <f>+Capex!I36</f>
        <v>167.67669000000001</v>
      </c>
      <c r="L38" s="170">
        <f>+Capex!J36</f>
        <v>0</v>
      </c>
      <c r="M38" s="170">
        <f>+Capex!K36</f>
        <v>0</v>
      </c>
      <c r="N38" s="170">
        <f>+Capex!L36</f>
        <v>0</v>
      </c>
      <c r="O38" s="170">
        <f>+Capex!M36</f>
        <v>0</v>
      </c>
      <c r="P38" s="170">
        <f>+Capex!N36</f>
        <v>0</v>
      </c>
    </row>
    <row r="39" spans="2:16" hidden="1" outlineLevel="1" x14ac:dyDescent="0.25">
      <c r="C39" s="4" t="s">
        <v>338</v>
      </c>
      <c r="D39" s="6" t="s">
        <v>322</v>
      </c>
      <c r="E39" s="6" t="s">
        <v>56</v>
      </c>
      <c r="F39" s="67">
        <f t="shared" si="6"/>
        <v>20.99014</v>
      </c>
      <c r="H39" s="170">
        <f>+Capex!F37</f>
        <v>0</v>
      </c>
      <c r="I39" s="170">
        <f>+Capex!G37</f>
        <v>0</v>
      </c>
      <c r="J39" s="170">
        <f>+Capex!H37</f>
        <v>0</v>
      </c>
      <c r="K39" s="170">
        <f>+Capex!I37</f>
        <v>0</v>
      </c>
      <c r="L39" s="170">
        <f>+Capex!J37</f>
        <v>0</v>
      </c>
      <c r="M39" s="170">
        <f>+Capex!K37</f>
        <v>20.99014</v>
      </c>
      <c r="N39" s="170">
        <f>+Capex!L37</f>
        <v>0</v>
      </c>
      <c r="O39" s="170">
        <f>+Capex!M37</f>
        <v>0</v>
      </c>
      <c r="P39" s="170">
        <f>+Capex!N37</f>
        <v>0</v>
      </c>
    </row>
    <row r="40" spans="2:16" hidden="1" outlineLevel="1" x14ac:dyDescent="0.25">
      <c r="C40" s="4" t="s">
        <v>339</v>
      </c>
      <c r="D40" s="6" t="s">
        <v>322</v>
      </c>
      <c r="E40" s="6" t="s">
        <v>56</v>
      </c>
      <c r="F40" s="67">
        <f t="shared" si="6"/>
        <v>23.12208</v>
      </c>
      <c r="H40" s="170">
        <f>+Capex!F38</f>
        <v>0</v>
      </c>
      <c r="I40" s="170">
        <f>+Capex!G38</f>
        <v>0</v>
      </c>
      <c r="J40" s="170">
        <f>+Capex!H38</f>
        <v>0</v>
      </c>
      <c r="K40" s="170">
        <f>+Capex!I38</f>
        <v>0</v>
      </c>
      <c r="L40" s="170">
        <f>+Capex!J38</f>
        <v>0</v>
      </c>
      <c r="M40" s="170">
        <f>+Capex!K38</f>
        <v>23.12208</v>
      </c>
      <c r="N40" s="170">
        <f>+Capex!L38</f>
        <v>0</v>
      </c>
      <c r="O40" s="170">
        <f>+Capex!M38</f>
        <v>0</v>
      </c>
      <c r="P40" s="170">
        <f>+Capex!N38</f>
        <v>0</v>
      </c>
    </row>
    <row r="41" spans="2:16" hidden="1" outlineLevel="1" x14ac:dyDescent="0.25">
      <c r="C41" s="4" t="s">
        <v>340</v>
      </c>
      <c r="D41" s="6" t="s">
        <v>322</v>
      </c>
      <c r="E41" s="6" t="s">
        <v>56</v>
      </c>
      <c r="F41" s="67">
        <f t="shared" si="6"/>
        <v>100.6927</v>
      </c>
      <c r="H41" s="170">
        <f>+Capex!F39</f>
        <v>0</v>
      </c>
      <c r="I41" s="170">
        <f>+Capex!G39</f>
        <v>0</v>
      </c>
      <c r="J41" s="170">
        <f>+Capex!H39</f>
        <v>0</v>
      </c>
      <c r="K41" s="170">
        <f>+Capex!I39</f>
        <v>0</v>
      </c>
      <c r="L41" s="170">
        <f>+Capex!J39</f>
        <v>0</v>
      </c>
      <c r="M41" s="170">
        <f>+Capex!K39</f>
        <v>100.6927</v>
      </c>
      <c r="N41" s="170">
        <f>+Capex!L39</f>
        <v>0</v>
      </c>
      <c r="O41" s="170">
        <f>+Capex!M39</f>
        <v>0</v>
      </c>
      <c r="P41" s="170">
        <f>+Capex!N39</f>
        <v>0</v>
      </c>
    </row>
    <row r="42" spans="2:16" hidden="1" outlineLevel="1" x14ac:dyDescent="0.25">
      <c r="C42" s="4" t="s">
        <v>341</v>
      </c>
      <c r="D42" s="6" t="s">
        <v>322</v>
      </c>
      <c r="E42" s="6" t="s">
        <v>56</v>
      </c>
      <c r="F42" s="67">
        <f t="shared" si="6"/>
        <v>25.06664</v>
      </c>
      <c r="H42" s="170">
        <f>+Capex!F40</f>
        <v>0</v>
      </c>
      <c r="I42" s="170">
        <f>+Capex!G40</f>
        <v>0</v>
      </c>
      <c r="J42" s="170">
        <f>+Capex!H40</f>
        <v>0</v>
      </c>
      <c r="K42" s="170">
        <f>+Capex!I40</f>
        <v>0</v>
      </c>
      <c r="L42" s="170">
        <f>+Capex!J40</f>
        <v>0</v>
      </c>
      <c r="M42" s="170">
        <f>+Capex!K40</f>
        <v>25.06664</v>
      </c>
      <c r="N42" s="170">
        <f>+Capex!L40</f>
        <v>0</v>
      </c>
      <c r="O42" s="170">
        <f>+Capex!M40</f>
        <v>0</v>
      </c>
      <c r="P42" s="170">
        <f>+Capex!N40</f>
        <v>0</v>
      </c>
    </row>
    <row r="43" spans="2:16" hidden="1" outlineLevel="1" x14ac:dyDescent="0.25">
      <c r="C43" s="4" t="s">
        <v>342</v>
      </c>
      <c r="D43" s="6" t="s">
        <v>322</v>
      </c>
      <c r="E43" s="6" t="s">
        <v>56</v>
      </c>
      <c r="F43" s="67">
        <f t="shared" si="6"/>
        <v>50.00535</v>
      </c>
      <c r="H43" s="170">
        <f>+Capex!F41</f>
        <v>0</v>
      </c>
      <c r="I43" s="170">
        <f>+Capex!G41</f>
        <v>0</v>
      </c>
      <c r="J43" s="170">
        <f>+Capex!H41</f>
        <v>0</v>
      </c>
      <c r="K43" s="170">
        <f>+Capex!I41</f>
        <v>0</v>
      </c>
      <c r="L43" s="170">
        <f>+Capex!J41</f>
        <v>0</v>
      </c>
      <c r="M43" s="170">
        <f>+Capex!K41</f>
        <v>0</v>
      </c>
      <c r="N43" s="170">
        <f>+Capex!L41</f>
        <v>50.00535</v>
      </c>
      <c r="O43" s="170">
        <f>+Capex!M41</f>
        <v>0</v>
      </c>
      <c r="P43" s="170">
        <f>+Capex!N41</f>
        <v>0</v>
      </c>
    </row>
    <row r="44" spans="2:16" hidden="1" outlineLevel="1" x14ac:dyDescent="0.25">
      <c r="C44" s="4" t="s">
        <v>343</v>
      </c>
      <c r="D44" s="6" t="s">
        <v>322</v>
      </c>
      <c r="E44" s="6" t="s">
        <v>56</v>
      </c>
      <c r="F44" s="67">
        <f t="shared" si="6"/>
        <v>61.469720000000002</v>
      </c>
      <c r="H44" s="170">
        <f>+Capex!F42</f>
        <v>0</v>
      </c>
      <c r="I44" s="170">
        <f>+Capex!G42</f>
        <v>0</v>
      </c>
      <c r="J44" s="170">
        <f>+Capex!H42</f>
        <v>0</v>
      </c>
      <c r="K44" s="170">
        <f>+Capex!I42</f>
        <v>0</v>
      </c>
      <c r="L44" s="170">
        <f>+Capex!J42</f>
        <v>0</v>
      </c>
      <c r="M44" s="170">
        <f>+Capex!K42</f>
        <v>0</v>
      </c>
      <c r="N44" s="170">
        <f>+Capex!L42</f>
        <v>0</v>
      </c>
      <c r="O44" s="170">
        <f>+Capex!M42</f>
        <v>0</v>
      </c>
      <c r="P44" s="170">
        <f>+Capex!N42</f>
        <v>61.469720000000002</v>
      </c>
    </row>
    <row r="45" spans="2:16" hidden="1" outlineLevel="1" x14ac:dyDescent="0.25">
      <c r="C45" s="223" t="s">
        <v>61</v>
      </c>
      <c r="D45" s="254" t="s">
        <v>322</v>
      </c>
      <c r="E45" s="254" t="s">
        <v>56</v>
      </c>
      <c r="F45" s="255">
        <f t="shared" si="6"/>
        <v>315.88213000000007</v>
      </c>
      <c r="G45" s="223"/>
      <c r="H45" s="268">
        <f>+Capex!F43</f>
        <v>435.84869635822514</v>
      </c>
      <c r="I45" s="268">
        <f>+Capex!G43</f>
        <v>154.42507763198688</v>
      </c>
      <c r="J45" s="268">
        <f>+Capex!H43</f>
        <v>64.026106009787185</v>
      </c>
      <c r="K45" s="268">
        <f>+Capex!I43</f>
        <v>-0.20399999999976717</v>
      </c>
      <c r="L45" s="268">
        <f>+Capex!J43</f>
        <v>-8.2178499999988119</v>
      </c>
      <c r="M45" s="268">
        <f>+Capex!K43</f>
        <v>25.499410000001429</v>
      </c>
      <c r="N45" s="268">
        <f>+Capex!L43</f>
        <v>-332.84389000000215</v>
      </c>
      <c r="O45" s="268">
        <f>+Capex!M43</f>
        <v>-14.878659999999917</v>
      </c>
      <c r="P45" s="268">
        <f>+Capex!N43</f>
        <v>-7.7727599999998933</v>
      </c>
    </row>
    <row r="46" spans="2:16" ht="13" hidden="1" outlineLevel="1" x14ac:dyDescent="0.3">
      <c r="B46" s="7"/>
      <c r="C46" s="223" t="s">
        <v>62</v>
      </c>
      <c r="D46" s="254" t="s">
        <v>322</v>
      </c>
      <c r="E46" s="254" t="s">
        <v>56</v>
      </c>
      <c r="F46" s="255">
        <f t="shared" si="6"/>
        <v>1937.1380700000016</v>
      </c>
      <c r="G46" s="223"/>
      <c r="H46" s="268">
        <f>+Capex!F44</f>
        <v>997.80311836067028</v>
      </c>
      <c r="I46" s="268">
        <f>+Capex!G44</f>
        <v>552.91836864297909</v>
      </c>
      <c r="J46" s="268">
        <f>+Capex!H44</f>
        <v>154.34166299635172</v>
      </c>
      <c r="K46" s="268">
        <f>+Capex!I44</f>
        <v>172.31816000000015</v>
      </c>
      <c r="L46" s="268">
        <f>+Capex!J44</f>
        <v>71.016999999999996</v>
      </c>
      <c r="M46" s="268">
        <f>+Capex!K44</f>
        <v>17.766110000001035</v>
      </c>
      <c r="N46" s="268">
        <f>+Capex!L44</f>
        <v>99.110960000000432</v>
      </c>
      <c r="O46" s="268">
        <f>+Capex!M44</f>
        <v>43.656689999999941</v>
      </c>
      <c r="P46" s="268">
        <f>+Capex!N44</f>
        <v>-171.79400000000092</v>
      </c>
    </row>
    <row r="47" spans="2:16" hidden="1" outlineLevel="1" x14ac:dyDescent="0.25">
      <c r="C47" s="223" t="s">
        <v>348</v>
      </c>
      <c r="D47" s="254" t="s">
        <v>322</v>
      </c>
      <c r="E47" s="254" t="s">
        <v>56</v>
      </c>
      <c r="F47" s="255">
        <f t="shared" si="6"/>
        <v>39.155749999999998</v>
      </c>
      <c r="G47" s="223"/>
      <c r="H47" s="268">
        <f>+Capex!F45</f>
        <v>38.29153580136407</v>
      </c>
      <c r="I47" s="268">
        <f>+Capex!G45</f>
        <v>0.86421264239555606</v>
      </c>
      <c r="J47" s="268">
        <f>+Capex!H45</f>
        <v>1.5562403714284302E-6</v>
      </c>
      <c r="K47" s="268">
        <f>+Capex!I45</f>
        <v>0</v>
      </c>
      <c r="L47" s="268">
        <f>+Capex!J45</f>
        <v>0</v>
      </c>
      <c r="M47" s="268">
        <f>+Capex!K45</f>
        <v>0</v>
      </c>
      <c r="N47" s="268">
        <f>+Capex!L45</f>
        <v>0</v>
      </c>
      <c r="O47" s="268">
        <f>+Capex!M45</f>
        <v>0</v>
      </c>
      <c r="P47" s="268">
        <f>+Capex!N45</f>
        <v>0</v>
      </c>
    </row>
    <row r="48" spans="2:16" hidden="1" outlineLevel="1" x14ac:dyDescent="0.25">
      <c r="C48" s="223" t="s">
        <v>349</v>
      </c>
      <c r="D48" s="254" t="s">
        <v>322</v>
      </c>
      <c r="E48" s="254" t="s">
        <v>56</v>
      </c>
      <c r="F48" s="255">
        <f t="shared" si="6"/>
        <v>684.75332000000014</v>
      </c>
      <c r="G48" s="223"/>
      <c r="H48" s="268">
        <f>+Capex!F46</f>
        <v>19.254816932695107</v>
      </c>
      <c r="I48" s="268">
        <f>+Capex!G46</f>
        <v>0.19974206636524469</v>
      </c>
      <c r="J48" s="268">
        <f>+Capex!H46</f>
        <v>665.29876100093975</v>
      </c>
      <c r="K48" s="268">
        <f>+Capex!I46</f>
        <v>0</v>
      </c>
      <c r="L48" s="268">
        <f>+Capex!J46</f>
        <v>0</v>
      </c>
      <c r="M48" s="268">
        <f>+Capex!K46</f>
        <v>0</v>
      </c>
      <c r="N48" s="268">
        <f>+Capex!L46</f>
        <v>0</v>
      </c>
      <c r="O48" s="268">
        <f>+Capex!M46</f>
        <v>0</v>
      </c>
      <c r="P48" s="268">
        <f>+Capex!N46</f>
        <v>0</v>
      </c>
    </row>
    <row r="49" spans="2:16" hidden="1" outlineLevel="1" x14ac:dyDescent="0.25">
      <c r="C49" s="223" t="s">
        <v>350</v>
      </c>
      <c r="D49" s="254" t="s">
        <v>322</v>
      </c>
      <c r="E49" s="254" t="s">
        <v>56</v>
      </c>
      <c r="F49" s="255">
        <f t="shared" si="6"/>
        <v>364.99883</v>
      </c>
      <c r="G49" s="223"/>
      <c r="H49" s="268">
        <f>+Capex!F47</f>
        <v>22.489212718772837</v>
      </c>
      <c r="I49" s="268">
        <f>+Capex!G47</f>
        <v>147.40459728122718</v>
      </c>
      <c r="J49" s="268">
        <f>+Capex!H47</f>
        <v>-1.0000000038417056E-5</v>
      </c>
      <c r="K49" s="268">
        <f>+Capex!I47</f>
        <v>198.10502999999997</v>
      </c>
      <c r="L49" s="268">
        <f>+Capex!J47</f>
        <v>0</v>
      </c>
      <c r="M49" s="268">
        <f>+Capex!K47</f>
        <v>0</v>
      </c>
      <c r="N49" s="268">
        <f>+Capex!L47</f>
        <v>0</v>
      </c>
      <c r="O49" s="268">
        <f>+Capex!M47</f>
        <v>-3</v>
      </c>
      <c r="P49" s="268">
        <f>+Capex!N47</f>
        <v>0</v>
      </c>
    </row>
    <row r="50" spans="2:16" hidden="1" outlineLevel="1" x14ac:dyDescent="0.25">
      <c r="C50" s="223" t="s">
        <v>351</v>
      </c>
      <c r="D50" s="254" t="s">
        <v>322</v>
      </c>
      <c r="E50" s="254" t="s">
        <v>56</v>
      </c>
      <c r="F50" s="255">
        <f t="shared" si="6"/>
        <v>328.71919000000014</v>
      </c>
      <c r="G50" s="223"/>
      <c r="H50" s="268">
        <f>+Capex!F48</f>
        <v>10.254155303605305</v>
      </c>
      <c r="I50" s="268">
        <f>+Capex!G48</f>
        <v>78.15909918319484</v>
      </c>
      <c r="J50" s="268">
        <f>+Capex!H48</f>
        <v>228.25573551319991</v>
      </c>
      <c r="K50" s="268">
        <f>+Capex!I48</f>
        <v>0</v>
      </c>
      <c r="L50" s="268">
        <f>+Capex!J48</f>
        <v>52.52954000000004</v>
      </c>
      <c r="M50" s="268">
        <f>+Capex!K48</f>
        <v>-0.90523999999999072</v>
      </c>
      <c r="N50" s="268">
        <f>+Capex!L48</f>
        <v>0</v>
      </c>
      <c r="O50" s="268">
        <f>+Capex!M48</f>
        <v>-39.57409999999998</v>
      </c>
      <c r="P50" s="268">
        <f>+Capex!N48</f>
        <v>0</v>
      </c>
    </row>
    <row r="51" spans="2:16" hidden="1" outlineLevel="1" x14ac:dyDescent="0.25">
      <c r="C51" s="223" t="s">
        <v>352</v>
      </c>
      <c r="D51" s="254" t="s">
        <v>322</v>
      </c>
      <c r="E51" s="254" t="s">
        <v>56</v>
      </c>
      <c r="F51" s="255">
        <f t="shared" si="6"/>
        <v>201.63208000000003</v>
      </c>
      <c r="G51" s="223"/>
      <c r="H51" s="268">
        <f>+Capex!F49</f>
        <v>0</v>
      </c>
      <c r="I51" s="268">
        <f>+Capex!G49</f>
        <v>0</v>
      </c>
      <c r="J51" s="268">
        <f>+Capex!H49</f>
        <v>312.63601</v>
      </c>
      <c r="K51" s="268">
        <f>+Capex!I49</f>
        <v>60.985669999999985</v>
      </c>
      <c r="L51" s="268">
        <f>+Capex!J49</f>
        <v>0</v>
      </c>
      <c r="M51" s="268">
        <f>+Capex!K49</f>
        <v>201.63208000000003</v>
      </c>
      <c r="N51" s="268">
        <f>+Capex!L49</f>
        <v>-373.62168000000003</v>
      </c>
      <c r="O51" s="268">
        <f>+Capex!M49</f>
        <v>0</v>
      </c>
      <c r="P51" s="268">
        <f>+Capex!N49</f>
        <v>0</v>
      </c>
    </row>
    <row r="52" spans="2:16" collapsed="1" x14ac:dyDescent="0.25">
      <c r="H52" s="8"/>
      <c r="I52" s="8"/>
      <c r="J52" s="8"/>
      <c r="K52" s="8"/>
      <c r="L52" s="8"/>
      <c r="M52" s="8"/>
      <c r="N52" s="8"/>
      <c r="O52" s="8"/>
      <c r="P52" s="8"/>
    </row>
    <row r="53" spans="2:16" ht="13" x14ac:dyDescent="0.3">
      <c r="B53" s="7" t="s">
        <v>353</v>
      </c>
      <c r="C53" s="7"/>
      <c r="D53" s="243"/>
      <c r="E53" s="243"/>
      <c r="F53" s="66"/>
      <c r="H53" s="70"/>
      <c r="I53" s="70"/>
      <c r="J53" s="70"/>
      <c r="K53" s="70"/>
      <c r="L53" s="70"/>
      <c r="M53" s="70"/>
      <c r="N53" s="70"/>
      <c r="O53" s="70"/>
      <c r="P53" s="70"/>
    </row>
    <row r="54" spans="2:16" ht="13" hidden="1" outlineLevel="1" x14ac:dyDescent="0.3">
      <c r="B54" s="7"/>
      <c r="C54" s="4" t="s">
        <v>354</v>
      </c>
      <c r="D54" s="6" t="s">
        <v>322</v>
      </c>
      <c r="E54" s="6" t="s">
        <v>56</v>
      </c>
      <c r="F54" s="67">
        <f>+SUM(H54:P54)</f>
        <v>67430.134259999992</v>
      </c>
      <c r="H54" s="172">
        <f>Capex!F52</f>
        <v>0</v>
      </c>
      <c r="I54" s="172">
        <f>Capex!G52</f>
        <v>0</v>
      </c>
      <c r="J54" s="172">
        <f>Capex!H52</f>
        <v>0</v>
      </c>
      <c r="K54" s="172">
        <f>Capex!I52</f>
        <v>0</v>
      </c>
      <c r="L54" s="170">
        <f>Capex!J52</f>
        <v>68817.850000000006</v>
      </c>
      <c r="M54" s="170">
        <f>Capex!K52</f>
        <v>-1387.7157400000096</v>
      </c>
      <c r="N54" s="172">
        <f>Capex!L52</f>
        <v>0</v>
      </c>
      <c r="O54" s="172">
        <f>Capex!M52</f>
        <v>0</v>
      </c>
      <c r="P54" s="172">
        <f>Capex!N52</f>
        <v>0</v>
      </c>
    </row>
    <row r="55" spans="2:16" ht="13" hidden="1" outlineLevel="1" x14ac:dyDescent="0.3">
      <c r="B55" s="7"/>
      <c r="C55" s="4" t="s">
        <v>355</v>
      </c>
      <c r="D55" s="6" t="s">
        <v>322</v>
      </c>
      <c r="E55" s="6" t="s">
        <v>56</v>
      </c>
      <c r="F55" s="67">
        <f t="shared" ref="F55:F65" si="7">+SUM(H55:P55)</f>
        <v>56322.161</v>
      </c>
      <c r="H55" s="172">
        <f>Capex!F53</f>
        <v>0</v>
      </c>
      <c r="I55" s="172">
        <f>Capex!G53</f>
        <v>0</v>
      </c>
      <c r="J55" s="172">
        <f>Capex!H53</f>
        <v>0</v>
      </c>
      <c r="K55" s="172">
        <f>Capex!I53</f>
        <v>0</v>
      </c>
      <c r="L55" s="170">
        <f>Capex!J53</f>
        <v>0</v>
      </c>
      <c r="M55" s="170">
        <f>Capex!K53</f>
        <v>56322.161</v>
      </c>
      <c r="N55" s="172">
        <f>Capex!L53</f>
        <v>0</v>
      </c>
      <c r="O55" s="172">
        <f>Capex!M53</f>
        <v>0</v>
      </c>
      <c r="P55" s="172">
        <f>Capex!N53</f>
        <v>0</v>
      </c>
    </row>
    <row r="56" spans="2:16" ht="13" hidden="1" outlineLevel="1" x14ac:dyDescent="0.3">
      <c r="B56" s="7"/>
      <c r="C56" s="4" t="s">
        <v>356</v>
      </c>
      <c r="D56" s="6" t="s">
        <v>322</v>
      </c>
      <c r="E56" s="6" t="s">
        <v>56</v>
      </c>
      <c r="F56" s="67">
        <f t="shared" si="7"/>
        <v>5110.7187800000002</v>
      </c>
      <c r="H56" s="172">
        <f>Capex!F54</f>
        <v>0</v>
      </c>
      <c r="I56" s="172">
        <f>Capex!G54</f>
        <v>0</v>
      </c>
      <c r="J56" s="172">
        <f>Capex!H54</f>
        <v>0</v>
      </c>
      <c r="K56" s="172">
        <f>Capex!I54</f>
        <v>0</v>
      </c>
      <c r="L56" s="170">
        <f>Capex!J54</f>
        <v>5110.7187800000002</v>
      </c>
      <c r="M56" s="170">
        <f>Capex!K54</f>
        <v>0</v>
      </c>
      <c r="N56" s="172">
        <f>Capex!L54</f>
        <v>0</v>
      </c>
      <c r="O56" s="172">
        <f>Capex!M54</f>
        <v>0</v>
      </c>
      <c r="P56" s="172">
        <f>Capex!N54</f>
        <v>0</v>
      </c>
    </row>
    <row r="57" spans="2:16" ht="13" hidden="1" outlineLevel="1" x14ac:dyDescent="0.3">
      <c r="B57" s="7"/>
      <c r="C57" s="4" t="s">
        <v>357</v>
      </c>
      <c r="D57" s="6" t="s">
        <v>322</v>
      </c>
      <c r="E57" s="6" t="s">
        <v>56</v>
      </c>
      <c r="F57" s="67">
        <f t="shared" si="7"/>
        <v>11316.574369999998</v>
      </c>
      <c r="H57" s="172">
        <f>Capex!F55</f>
        <v>0</v>
      </c>
      <c r="I57" s="172">
        <f>Capex!G55</f>
        <v>0</v>
      </c>
      <c r="J57" s="172">
        <f>Capex!H55</f>
        <v>0</v>
      </c>
      <c r="K57" s="172">
        <f>Capex!I55</f>
        <v>0</v>
      </c>
      <c r="L57" s="170">
        <f>Capex!J55</f>
        <v>0</v>
      </c>
      <c r="M57" s="170">
        <f>Capex!K55</f>
        <v>11316.574369999998</v>
      </c>
      <c r="N57" s="172">
        <f>Capex!L55</f>
        <v>0</v>
      </c>
      <c r="O57" s="172">
        <f>Capex!M55</f>
        <v>0</v>
      </c>
      <c r="P57" s="172">
        <f>Capex!N55</f>
        <v>0</v>
      </c>
    </row>
    <row r="58" spans="2:16" ht="13" hidden="1" outlineLevel="1" x14ac:dyDescent="0.3">
      <c r="B58" s="7"/>
      <c r="C58" s="4" t="s">
        <v>358</v>
      </c>
      <c r="D58" s="6" t="s">
        <v>322</v>
      </c>
      <c r="E58" s="6" t="s">
        <v>56</v>
      </c>
      <c r="F58" s="67">
        <f t="shared" si="7"/>
        <v>14002.23213</v>
      </c>
      <c r="H58" s="172">
        <f>Capex!F56</f>
        <v>0</v>
      </c>
      <c r="I58" s="172">
        <f>Capex!G56</f>
        <v>0</v>
      </c>
      <c r="J58" s="172">
        <f>Capex!H56</f>
        <v>0</v>
      </c>
      <c r="K58" s="172">
        <f>Capex!I56</f>
        <v>0</v>
      </c>
      <c r="L58" s="170">
        <f>Capex!J56</f>
        <v>14251.683230000001</v>
      </c>
      <c r="M58" s="170">
        <f>Capex!K56</f>
        <v>-249.45109999999963</v>
      </c>
      <c r="N58" s="172">
        <f>Capex!L56</f>
        <v>0</v>
      </c>
      <c r="O58" s="172">
        <f>Capex!M56</f>
        <v>0</v>
      </c>
      <c r="P58" s="172">
        <f>Capex!N56</f>
        <v>0</v>
      </c>
    </row>
    <row r="59" spans="2:16" ht="13" hidden="1" outlineLevel="1" x14ac:dyDescent="0.3">
      <c r="B59" s="7"/>
      <c r="C59" s="4" t="s">
        <v>359</v>
      </c>
      <c r="D59" s="6" t="s">
        <v>322</v>
      </c>
      <c r="E59" s="6" t="s">
        <v>56</v>
      </c>
      <c r="F59" s="67">
        <f t="shared" si="7"/>
        <v>53.443010000000001</v>
      </c>
      <c r="H59" s="172">
        <f>Capex!F57</f>
        <v>0</v>
      </c>
      <c r="I59" s="172">
        <f>Capex!G57</f>
        <v>0</v>
      </c>
      <c r="J59" s="172">
        <f>Capex!H57</f>
        <v>0</v>
      </c>
      <c r="K59" s="172">
        <f>Capex!I57</f>
        <v>0</v>
      </c>
      <c r="L59" s="170">
        <f>Capex!J57</f>
        <v>0</v>
      </c>
      <c r="M59" s="170">
        <f>Capex!K57</f>
        <v>53.443010000000001</v>
      </c>
      <c r="N59" s="172">
        <f>Capex!L57</f>
        <v>0</v>
      </c>
      <c r="O59" s="172">
        <f>Capex!M57</f>
        <v>0</v>
      </c>
      <c r="P59" s="172">
        <f>Capex!N57</f>
        <v>0</v>
      </c>
    </row>
    <row r="60" spans="2:16" ht="13" hidden="1" outlineLevel="1" x14ac:dyDescent="0.3">
      <c r="B60" s="7"/>
      <c r="C60" s="4" t="s">
        <v>360</v>
      </c>
      <c r="D60" s="6" t="s">
        <v>322</v>
      </c>
      <c r="E60" s="6" t="s">
        <v>56</v>
      </c>
      <c r="F60" s="67">
        <f t="shared" si="7"/>
        <v>1248.26361</v>
      </c>
      <c r="H60" s="172">
        <f>Capex!F58</f>
        <v>0</v>
      </c>
      <c r="I60" s="172">
        <f>Capex!G58</f>
        <v>0</v>
      </c>
      <c r="J60" s="172">
        <f>Capex!H58</f>
        <v>0</v>
      </c>
      <c r="K60" s="172">
        <f>Capex!I58</f>
        <v>0</v>
      </c>
      <c r="L60" s="170">
        <f>Capex!J58</f>
        <v>1248.26361</v>
      </c>
      <c r="M60" s="170">
        <f>Capex!K58</f>
        <v>0</v>
      </c>
      <c r="N60" s="172">
        <f>Capex!L58</f>
        <v>0</v>
      </c>
      <c r="O60" s="172">
        <f>Capex!M58</f>
        <v>0</v>
      </c>
      <c r="P60" s="172">
        <f>Capex!N58</f>
        <v>0</v>
      </c>
    </row>
    <row r="61" spans="2:16" ht="13" hidden="1" outlineLevel="1" x14ac:dyDescent="0.3">
      <c r="B61" s="7"/>
      <c r="C61" s="4" t="s">
        <v>361</v>
      </c>
      <c r="D61" s="6" t="s">
        <v>322</v>
      </c>
      <c r="E61" s="6" t="s">
        <v>56</v>
      </c>
      <c r="F61" s="67">
        <f t="shared" si="7"/>
        <v>255.19564</v>
      </c>
      <c r="H61" s="172">
        <f>Capex!F59</f>
        <v>0</v>
      </c>
      <c r="I61" s="172">
        <f>Capex!G59</f>
        <v>0</v>
      </c>
      <c r="J61" s="172">
        <f>Capex!H59</f>
        <v>0</v>
      </c>
      <c r="K61" s="172">
        <f>Capex!I59</f>
        <v>0</v>
      </c>
      <c r="L61" s="170">
        <f>Capex!J59</f>
        <v>255.19564</v>
      </c>
      <c r="M61" s="170">
        <f>Capex!K59</f>
        <v>0</v>
      </c>
      <c r="N61" s="172">
        <f>Capex!L59</f>
        <v>0</v>
      </c>
      <c r="O61" s="172">
        <f>Capex!M59</f>
        <v>0</v>
      </c>
      <c r="P61" s="172">
        <f>Capex!N59</f>
        <v>0</v>
      </c>
    </row>
    <row r="62" spans="2:16" ht="13" hidden="1" outlineLevel="1" x14ac:dyDescent="0.3">
      <c r="B62" s="7"/>
      <c r="C62" s="4" t="s">
        <v>362</v>
      </c>
      <c r="D62" s="6" t="s">
        <v>322</v>
      </c>
      <c r="E62" s="6" t="s">
        <v>56</v>
      </c>
      <c r="F62" s="67">
        <f t="shared" si="7"/>
        <v>329.42184000000003</v>
      </c>
      <c r="H62" s="172">
        <f>Capex!F60</f>
        <v>0</v>
      </c>
      <c r="I62" s="172">
        <f>Capex!G60</f>
        <v>0</v>
      </c>
      <c r="J62" s="172">
        <f>Capex!H60</f>
        <v>0</v>
      </c>
      <c r="K62" s="172">
        <f>Capex!I60</f>
        <v>0</v>
      </c>
      <c r="L62" s="170">
        <f>Capex!J60</f>
        <v>329.42184000000003</v>
      </c>
      <c r="M62" s="170">
        <f>Capex!K60</f>
        <v>0</v>
      </c>
      <c r="N62" s="172">
        <f>Capex!L60</f>
        <v>0</v>
      </c>
      <c r="O62" s="172">
        <f>Capex!M60</f>
        <v>0</v>
      </c>
      <c r="P62" s="172">
        <f>Capex!N60</f>
        <v>0</v>
      </c>
    </row>
    <row r="63" spans="2:16" ht="13" hidden="1" outlineLevel="1" x14ac:dyDescent="0.3">
      <c r="B63" s="7"/>
      <c r="C63" s="4" t="s">
        <v>363</v>
      </c>
      <c r="D63" s="6" t="s">
        <v>322</v>
      </c>
      <c r="E63" s="6" t="s">
        <v>56</v>
      </c>
      <c r="F63" s="67">
        <f t="shared" si="7"/>
        <v>56328.799070000001</v>
      </c>
      <c r="H63" s="172">
        <f>Capex!F61</f>
        <v>0</v>
      </c>
      <c r="I63" s="172">
        <f>Capex!G61</f>
        <v>0</v>
      </c>
      <c r="J63" s="172">
        <f>Capex!H61</f>
        <v>0</v>
      </c>
      <c r="K63" s="172">
        <f>Capex!I61</f>
        <v>0</v>
      </c>
      <c r="L63" s="172">
        <f>Capex!J61</f>
        <v>0</v>
      </c>
      <c r="M63" s="170">
        <f>Capex!K61</f>
        <v>56328.799070000001</v>
      </c>
      <c r="N63" s="172">
        <f>Capex!L61</f>
        <v>0</v>
      </c>
      <c r="O63" s="172">
        <f>Capex!M61</f>
        <v>0</v>
      </c>
      <c r="P63" s="172">
        <f>Capex!N61</f>
        <v>0</v>
      </c>
    </row>
    <row r="64" spans="2:16" ht="13" hidden="1" outlineLevel="1" x14ac:dyDescent="0.3">
      <c r="B64" s="7"/>
      <c r="C64" s="4" t="s">
        <v>364</v>
      </c>
      <c r="D64" s="6" t="s">
        <v>322</v>
      </c>
      <c r="E64" s="6" t="s">
        <v>56</v>
      </c>
      <c r="F64" s="67">
        <f t="shared" si="7"/>
        <v>2467.973</v>
      </c>
      <c r="H64" s="172">
        <f>Capex!F62</f>
        <v>0</v>
      </c>
      <c r="I64" s="172">
        <f>Capex!G62</f>
        <v>0</v>
      </c>
      <c r="J64" s="172">
        <f>Capex!H62</f>
        <v>0</v>
      </c>
      <c r="K64" s="172">
        <f>Capex!I62</f>
        <v>0</v>
      </c>
      <c r="L64" s="172">
        <f>Capex!J62</f>
        <v>0</v>
      </c>
      <c r="M64" s="170">
        <f>Capex!K62</f>
        <v>2467.973</v>
      </c>
      <c r="N64" s="172">
        <f>Capex!L62</f>
        <v>0</v>
      </c>
      <c r="O64" s="172">
        <f>Capex!M62</f>
        <v>0</v>
      </c>
      <c r="P64" s="172">
        <f>Capex!N62</f>
        <v>0</v>
      </c>
    </row>
    <row r="65" spans="2:16" ht="13" hidden="1" outlineLevel="1" x14ac:dyDescent="0.3">
      <c r="B65" s="7"/>
      <c r="C65" s="4" t="s">
        <v>365</v>
      </c>
      <c r="D65" s="6" t="s">
        <v>322</v>
      </c>
      <c r="E65" s="6" t="s">
        <v>56</v>
      </c>
      <c r="F65" s="67">
        <f t="shared" si="7"/>
        <v>6932.5896600000005</v>
      </c>
      <c r="H65" s="172">
        <f>Capex!F63</f>
        <v>0</v>
      </c>
      <c r="I65" s="172">
        <f>Capex!G63</f>
        <v>0</v>
      </c>
      <c r="J65" s="172">
        <f>Capex!H63</f>
        <v>0</v>
      </c>
      <c r="K65" s="172">
        <f>Capex!I63</f>
        <v>0</v>
      </c>
      <c r="L65" s="172">
        <f>Capex!J63</f>
        <v>0</v>
      </c>
      <c r="M65" s="170">
        <f>Capex!K63</f>
        <v>6932.5896600000005</v>
      </c>
      <c r="N65" s="172">
        <f>Capex!L63</f>
        <v>0</v>
      </c>
      <c r="O65" s="172">
        <f>Capex!M63</f>
        <v>0</v>
      </c>
      <c r="P65" s="172">
        <f>Capex!N63</f>
        <v>0</v>
      </c>
    </row>
    <row r="66" spans="2:16" ht="13" hidden="1" outlineLevel="1" x14ac:dyDescent="0.3">
      <c r="B66" s="7"/>
      <c r="C66" s="4" t="s">
        <v>366</v>
      </c>
      <c r="D66" s="6" t="s">
        <v>322</v>
      </c>
      <c r="E66" s="6" t="s">
        <v>56</v>
      </c>
      <c r="F66" s="67">
        <f t="shared" ref="F66:F70" si="8">+SUM(H66:P66)</f>
        <v>2405.0385499999998</v>
      </c>
      <c r="H66" s="172">
        <f>Capex!F64</f>
        <v>0</v>
      </c>
      <c r="I66" s="172">
        <f>Capex!G64</f>
        <v>0</v>
      </c>
      <c r="J66" s="172">
        <f>Capex!H64</f>
        <v>0</v>
      </c>
      <c r="K66" s="172">
        <f>Capex!I64</f>
        <v>0</v>
      </c>
      <c r="L66" s="172">
        <f>Capex!J64</f>
        <v>0</v>
      </c>
      <c r="M66" s="170">
        <f>Capex!K64</f>
        <v>2405.0385499999998</v>
      </c>
      <c r="N66" s="172">
        <f>Capex!L64</f>
        <v>0</v>
      </c>
      <c r="O66" s="172">
        <f>Capex!M64</f>
        <v>0</v>
      </c>
      <c r="P66" s="172">
        <f>Capex!N64</f>
        <v>0</v>
      </c>
    </row>
    <row r="67" spans="2:16" ht="13" hidden="1" outlineLevel="1" x14ac:dyDescent="0.3">
      <c r="B67" s="7"/>
      <c r="C67" s="4" t="s">
        <v>367</v>
      </c>
      <c r="D67" s="6" t="s">
        <v>322</v>
      </c>
      <c r="E67" s="6" t="s">
        <v>56</v>
      </c>
      <c r="F67" s="67">
        <f t="shared" si="8"/>
        <v>18772.515599999999</v>
      </c>
      <c r="H67" s="172">
        <f>Capex!F65</f>
        <v>0</v>
      </c>
      <c r="I67" s="172">
        <f>Capex!G65</f>
        <v>0</v>
      </c>
      <c r="J67" s="172">
        <f>Capex!H65</f>
        <v>0</v>
      </c>
      <c r="K67" s="172">
        <f>Capex!I65</f>
        <v>0</v>
      </c>
      <c r="L67" s="172">
        <f>Capex!J65</f>
        <v>0</v>
      </c>
      <c r="M67" s="170">
        <f>Capex!K65</f>
        <v>18772.515599999999</v>
      </c>
      <c r="N67" s="172">
        <f>Capex!L65</f>
        <v>0</v>
      </c>
      <c r="O67" s="172">
        <f>Capex!M65</f>
        <v>0</v>
      </c>
      <c r="P67" s="172">
        <f>Capex!N65</f>
        <v>0</v>
      </c>
    </row>
    <row r="68" spans="2:16" ht="13" hidden="1" outlineLevel="1" x14ac:dyDescent="0.3">
      <c r="B68" s="7"/>
      <c r="C68" s="4" t="s">
        <v>368</v>
      </c>
      <c r="D68" s="6" t="s">
        <v>322</v>
      </c>
      <c r="E68" s="6" t="s">
        <v>56</v>
      </c>
      <c r="F68" s="67">
        <f t="shared" si="8"/>
        <v>10200.742259999999</v>
      </c>
      <c r="H68" s="172">
        <f>Capex!F66</f>
        <v>0</v>
      </c>
      <c r="I68" s="172">
        <f>Capex!G66</f>
        <v>0</v>
      </c>
      <c r="J68" s="172">
        <f>Capex!H66</f>
        <v>0</v>
      </c>
      <c r="K68" s="172">
        <f>Capex!I66</f>
        <v>0</v>
      </c>
      <c r="L68" s="172">
        <f>Capex!J66</f>
        <v>0</v>
      </c>
      <c r="M68" s="170">
        <f>Capex!K66</f>
        <v>10200.742259999999</v>
      </c>
      <c r="N68" s="172">
        <f>Capex!L66</f>
        <v>0</v>
      </c>
      <c r="O68" s="172">
        <f>Capex!M66</f>
        <v>0</v>
      </c>
      <c r="P68" s="172">
        <f>Capex!N66</f>
        <v>0</v>
      </c>
    </row>
    <row r="69" spans="2:16" ht="13" hidden="1" outlineLevel="1" x14ac:dyDescent="0.3">
      <c r="B69" s="7"/>
      <c r="C69" s="4" t="s">
        <v>369</v>
      </c>
      <c r="D69" s="6" t="s">
        <v>322</v>
      </c>
      <c r="E69" s="6" t="s">
        <v>56</v>
      </c>
      <c r="F69" s="67">
        <f t="shared" si="8"/>
        <v>1593.2091699999999</v>
      </c>
      <c r="H69" s="172">
        <f>Capex!F67</f>
        <v>0</v>
      </c>
      <c r="I69" s="172">
        <f>Capex!G67</f>
        <v>0</v>
      </c>
      <c r="J69" s="172">
        <f>Capex!H67</f>
        <v>0</v>
      </c>
      <c r="K69" s="172">
        <f>Capex!I67</f>
        <v>0</v>
      </c>
      <c r="L69" s="172">
        <f>Capex!J67</f>
        <v>0</v>
      </c>
      <c r="M69" s="170">
        <f>Capex!K67</f>
        <v>1593.2091699999999</v>
      </c>
      <c r="N69" s="172">
        <f>Capex!L67</f>
        <v>0</v>
      </c>
      <c r="O69" s="172">
        <f>Capex!M67</f>
        <v>0</v>
      </c>
      <c r="P69" s="172">
        <f>Capex!N67</f>
        <v>0</v>
      </c>
    </row>
    <row r="70" spans="2:16" ht="13" hidden="1" outlineLevel="1" x14ac:dyDescent="0.3">
      <c r="B70" s="7"/>
      <c r="C70" s="4" t="s">
        <v>370</v>
      </c>
      <c r="D70" s="6" t="s">
        <v>322</v>
      </c>
      <c r="E70" s="6" t="s">
        <v>56</v>
      </c>
      <c r="F70" s="67">
        <f t="shared" si="8"/>
        <v>10641.089379999999</v>
      </c>
      <c r="H70" s="172">
        <f>Capex!F68</f>
        <v>0</v>
      </c>
      <c r="I70" s="172">
        <f>Capex!G68</f>
        <v>0</v>
      </c>
      <c r="J70" s="172">
        <f>Capex!H68</f>
        <v>0</v>
      </c>
      <c r="K70" s="172">
        <f>Capex!I68</f>
        <v>0</v>
      </c>
      <c r="L70" s="172">
        <f>Capex!J68</f>
        <v>0</v>
      </c>
      <c r="M70" s="170">
        <f>Capex!K68</f>
        <v>10641.089379999999</v>
      </c>
      <c r="N70" s="172">
        <f>Capex!L68</f>
        <v>0</v>
      </c>
      <c r="O70" s="172">
        <f>Capex!M68</f>
        <v>0</v>
      </c>
      <c r="P70" s="172">
        <f>Capex!N68</f>
        <v>0</v>
      </c>
    </row>
    <row r="71" spans="2:16" ht="13" hidden="1" outlineLevel="1" x14ac:dyDescent="0.3">
      <c r="B71" s="7"/>
      <c r="C71" s="4" t="s">
        <v>371</v>
      </c>
      <c r="D71" s="6" t="s">
        <v>322</v>
      </c>
      <c r="E71" s="6" t="s">
        <v>56</v>
      </c>
      <c r="F71" s="67">
        <f t="shared" ref="F71:F73" si="9">+SUM(H71:P71)</f>
        <v>23811.76208</v>
      </c>
      <c r="H71" s="172">
        <f>Capex!F69</f>
        <v>0</v>
      </c>
      <c r="I71" s="172">
        <f>Capex!G69</f>
        <v>0</v>
      </c>
      <c r="J71" s="172">
        <f>Capex!H69</f>
        <v>0</v>
      </c>
      <c r="K71" s="172">
        <f>Capex!I69</f>
        <v>0</v>
      </c>
      <c r="L71" s="172">
        <f>Capex!J69</f>
        <v>0</v>
      </c>
      <c r="M71" s="170">
        <f>Capex!K69</f>
        <v>23811.76208</v>
      </c>
      <c r="N71" s="172">
        <f>Capex!L69</f>
        <v>0</v>
      </c>
      <c r="O71" s="172">
        <f>Capex!M69</f>
        <v>0</v>
      </c>
      <c r="P71" s="172">
        <f>Capex!N69</f>
        <v>0</v>
      </c>
    </row>
    <row r="72" spans="2:16" ht="13" hidden="1" outlineLevel="1" x14ac:dyDescent="0.3">
      <c r="B72" s="7"/>
      <c r="C72" s="4" t="s">
        <v>372</v>
      </c>
      <c r="D72" s="6" t="s">
        <v>322</v>
      </c>
      <c r="E72" s="6" t="s">
        <v>56</v>
      </c>
      <c r="F72" s="67">
        <f t="shared" si="9"/>
        <v>13718.82503</v>
      </c>
      <c r="H72" s="172">
        <f>Capex!F70</f>
        <v>0</v>
      </c>
      <c r="I72" s="172">
        <f>Capex!G70</f>
        <v>0</v>
      </c>
      <c r="J72" s="172">
        <f>Capex!H70</f>
        <v>0</v>
      </c>
      <c r="K72" s="172">
        <f>Capex!I70</f>
        <v>0</v>
      </c>
      <c r="L72" s="172">
        <f>Capex!J70</f>
        <v>0</v>
      </c>
      <c r="M72" s="170">
        <f>Capex!K70</f>
        <v>13718.82503</v>
      </c>
      <c r="N72" s="172">
        <f>Capex!L70</f>
        <v>0</v>
      </c>
      <c r="O72" s="172">
        <f>Capex!M70</f>
        <v>0</v>
      </c>
      <c r="P72" s="172">
        <f>Capex!N70</f>
        <v>0</v>
      </c>
    </row>
    <row r="73" spans="2:16" ht="13" hidden="1" outlineLevel="1" x14ac:dyDescent="0.3">
      <c r="B73" s="7"/>
      <c r="C73" s="4" t="s">
        <v>373</v>
      </c>
      <c r="D73" s="6" t="s">
        <v>322</v>
      </c>
      <c r="E73" s="6" t="s">
        <v>56</v>
      </c>
      <c r="F73" s="67">
        <f t="shared" si="9"/>
        <v>13195.66726</v>
      </c>
      <c r="H73" s="172">
        <f>Capex!F71</f>
        <v>0</v>
      </c>
      <c r="I73" s="172">
        <f>Capex!G71</f>
        <v>0</v>
      </c>
      <c r="J73" s="172">
        <f>Capex!H71</f>
        <v>0</v>
      </c>
      <c r="K73" s="172">
        <f>Capex!I71</f>
        <v>0</v>
      </c>
      <c r="L73" s="172">
        <f>Capex!J71</f>
        <v>0</v>
      </c>
      <c r="M73" s="172">
        <f>Capex!K71</f>
        <v>0</v>
      </c>
      <c r="N73" s="170">
        <f>Capex!L71</f>
        <v>13195.66726</v>
      </c>
      <c r="O73" s="172">
        <f>Capex!M71</f>
        <v>0</v>
      </c>
      <c r="P73" s="172">
        <f>Capex!N71</f>
        <v>0</v>
      </c>
    </row>
    <row r="74" spans="2:16" ht="13" hidden="1" outlineLevel="1" x14ac:dyDescent="0.3">
      <c r="B74" s="7"/>
      <c r="C74" s="4" t="s">
        <v>408</v>
      </c>
      <c r="D74" s="6" t="s">
        <v>322</v>
      </c>
      <c r="E74" s="6" t="s">
        <v>56</v>
      </c>
      <c r="F74" s="67">
        <f t="shared" ref="F74:F118" si="10">+SUM(H74:P74)</f>
        <v>1673.8921699999999</v>
      </c>
      <c r="H74" s="170">
        <f>Capex!F72</f>
        <v>1775.2873399999999</v>
      </c>
      <c r="I74" s="170">
        <f>Capex!G72</f>
        <v>-101.39516999999992</v>
      </c>
      <c r="J74" s="170">
        <f>Capex!H72</f>
        <v>0</v>
      </c>
      <c r="K74" s="170">
        <f>Capex!I72</f>
        <v>0</v>
      </c>
      <c r="L74" s="170">
        <f>Capex!J72</f>
        <v>0</v>
      </c>
      <c r="M74" s="170">
        <f>Capex!K72</f>
        <v>0</v>
      </c>
      <c r="N74" s="170">
        <f>Capex!L72</f>
        <v>0</v>
      </c>
      <c r="O74" s="170">
        <f>Capex!M72</f>
        <v>0</v>
      </c>
      <c r="P74" s="170">
        <f>Capex!N72</f>
        <v>0</v>
      </c>
    </row>
    <row r="75" spans="2:16" ht="13" hidden="1" outlineLevel="1" x14ac:dyDescent="0.3">
      <c r="B75" s="7"/>
      <c r="C75" s="4" t="s">
        <v>409</v>
      </c>
      <c r="D75" s="6" t="s">
        <v>322</v>
      </c>
      <c r="E75" s="6" t="s">
        <v>56</v>
      </c>
      <c r="F75" s="67">
        <f t="shared" si="10"/>
        <v>1306.9565999999998</v>
      </c>
      <c r="H75" s="170">
        <f>Capex!F73</f>
        <v>1319.70092639367</v>
      </c>
      <c r="I75" s="170">
        <f>Capex!G73</f>
        <v>302.11739807757272</v>
      </c>
      <c r="J75" s="170">
        <f>Capex!H73</f>
        <v>-288.62299447124263</v>
      </c>
      <c r="K75" s="170">
        <f>Capex!I73</f>
        <v>-26.238730000000213</v>
      </c>
      <c r="L75" s="170">
        <f>Capex!J73</f>
        <v>0</v>
      </c>
      <c r="M75" s="170">
        <f>Capex!K73</f>
        <v>0</v>
      </c>
      <c r="N75" s="170">
        <f>Capex!L73</f>
        <v>0</v>
      </c>
      <c r="O75" s="170">
        <f>Capex!M73</f>
        <v>0</v>
      </c>
      <c r="P75" s="170">
        <f>Capex!N73</f>
        <v>0</v>
      </c>
    </row>
    <row r="76" spans="2:16" ht="13" hidden="1" outlineLevel="1" x14ac:dyDescent="0.3">
      <c r="B76" s="7"/>
      <c r="C76" s="4" t="s">
        <v>410</v>
      </c>
      <c r="D76" s="6" t="s">
        <v>322</v>
      </c>
      <c r="E76" s="6" t="s">
        <v>56</v>
      </c>
      <c r="F76" s="67">
        <f t="shared" si="10"/>
        <v>9.46875</v>
      </c>
      <c r="H76" s="170">
        <f>Capex!F74</f>
        <v>9.46875</v>
      </c>
      <c r="I76" s="170">
        <f>Capex!G74</f>
        <v>0</v>
      </c>
      <c r="J76" s="170">
        <f>Capex!H74</f>
        <v>0</v>
      </c>
      <c r="K76" s="170">
        <f>Capex!I74</f>
        <v>0</v>
      </c>
      <c r="L76" s="170">
        <f>Capex!J74</f>
        <v>0</v>
      </c>
      <c r="M76" s="170">
        <f>Capex!K74</f>
        <v>0</v>
      </c>
      <c r="N76" s="170">
        <f>Capex!L74</f>
        <v>0</v>
      </c>
      <c r="O76" s="170">
        <f>Capex!M74</f>
        <v>0</v>
      </c>
      <c r="P76" s="170">
        <f>Capex!N74</f>
        <v>0</v>
      </c>
    </row>
    <row r="77" spans="2:16" ht="13" hidden="1" outlineLevel="1" x14ac:dyDescent="0.3">
      <c r="B77" s="7"/>
      <c r="C77" s="4" t="s">
        <v>411</v>
      </c>
      <c r="D77" s="6" t="s">
        <v>322</v>
      </c>
      <c r="E77" s="6" t="s">
        <v>56</v>
      </c>
      <c r="F77" s="67">
        <f t="shared" si="10"/>
        <v>4244.9531599999991</v>
      </c>
      <c r="H77" s="170">
        <f>Capex!F75</f>
        <v>0</v>
      </c>
      <c r="I77" s="170">
        <f>Capex!G75</f>
        <v>1262.587908568476</v>
      </c>
      <c r="J77" s="170">
        <f>Capex!H75</f>
        <v>-561.81857856847603</v>
      </c>
      <c r="K77" s="170">
        <f>Capex!I75</f>
        <v>316.0537599999999</v>
      </c>
      <c r="L77" s="170">
        <f>Capex!J75</f>
        <v>638.18461000000025</v>
      </c>
      <c r="M77" s="170">
        <f>Capex!K75</f>
        <v>2533.8599699999995</v>
      </c>
      <c r="N77" s="170">
        <f>Capex!L75</f>
        <v>27.221259999999777</v>
      </c>
      <c r="O77" s="170">
        <f>Capex!M75</f>
        <v>0</v>
      </c>
      <c r="P77" s="170">
        <f>Capex!N75</f>
        <v>28.864230000000447</v>
      </c>
    </row>
    <row r="78" spans="2:16" ht="13" hidden="1" outlineLevel="1" x14ac:dyDescent="0.3">
      <c r="B78" s="7"/>
      <c r="C78" s="4" t="s">
        <v>129</v>
      </c>
      <c r="D78" s="6" t="s">
        <v>322</v>
      </c>
      <c r="E78" s="6" t="s">
        <v>56</v>
      </c>
      <c r="F78" s="67">
        <f t="shared" si="10"/>
        <v>77.707470000000001</v>
      </c>
      <c r="H78" s="170">
        <f>Capex!F76</f>
        <v>0</v>
      </c>
      <c r="I78" s="170">
        <f>Capex!G76</f>
        <v>0</v>
      </c>
      <c r="J78" s="170">
        <f>Capex!H76</f>
        <v>0</v>
      </c>
      <c r="K78" s="170">
        <f>Capex!I76</f>
        <v>109.12603999999999</v>
      </c>
      <c r="L78" s="170">
        <f>Capex!J76</f>
        <v>0</v>
      </c>
      <c r="M78" s="170">
        <f>Capex!K76</f>
        <v>0</v>
      </c>
      <c r="N78" s="170">
        <f>Capex!L76</f>
        <v>-31.418569999999992</v>
      </c>
      <c r="O78" s="170">
        <f>Capex!M76</f>
        <v>0</v>
      </c>
      <c r="P78" s="170">
        <f>Capex!N76</f>
        <v>0</v>
      </c>
    </row>
    <row r="79" spans="2:16" ht="13" hidden="1" outlineLevel="1" x14ac:dyDescent="0.3">
      <c r="B79" s="7"/>
      <c r="C79" s="4" t="s">
        <v>412</v>
      </c>
      <c r="D79" s="6" t="s">
        <v>322</v>
      </c>
      <c r="E79" s="6" t="s">
        <v>56</v>
      </c>
      <c r="F79" s="67">
        <f t="shared" si="10"/>
        <v>2384.6130599999997</v>
      </c>
      <c r="H79" s="170">
        <f>Capex!F77</f>
        <v>0</v>
      </c>
      <c r="I79" s="170">
        <f>Capex!G77</f>
        <v>0</v>
      </c>
      <c r="J79" s="170">
        <f>Capex!H77</f>
        <v>0</v>
      </c>
      <c r="K79" s="170">
        <f>Capex!I77</f>
        <v>0</v>
      </c>
      <c r="L79" s="170">
        <f>Capex!J77</f>
        <v>1382.2803699999999</v>
      </c>
      <c r="M79" s="170">
        <f>Capex!K77</f>
        <v>488.13294000000019</v>
      </c>
      <c r="N79" s="170">
        <f>Capex!L77</f>
        <v>0</v>
      </c>
      <c r="O79" s="170">
        <f>Capex!M77</f>
        <v>514.19974999999954</v>
      </c>
      <c r="P79" s="170">
        <f>Capex!N77</f>
        <v>0</v>
      </c>
    </row>
    <row r="80" spans="2:16" ht="13" hidden="1" outlineLevel="1" x14ac:dyDescent="0.3">
      <c r="B80" s="7"/>
      <c r="C80" s="4" t="s">
        <v>413</v>
      </c>
      <c r="D80" s="6" t="s">
        <v>322</v>
      </c>
      <c r="E80" s="6" t="s">
        <v>56</v>
      </c>
      <c r="F80" s="67">
        <f t="shared" si="10"/>
        <v>5502.9752900000003</v>
      </c>
      <c r="H80" s="170">
        <f>Capex!F78</f>
        <v>0</v>
      </c>
      <c r="I80" s="170">
        <f>Capex!G78</f>
        <v>0</v>
      </c>
      <c r="J80" s="170">
        <f>Capex!H78</f>
        <v>0</v>
      </c>
      <c r="K80" s="170">
        <f>Capex!I78</f>
        <v>0</v>
      </c>
      <c r="L80" s="170">
        <f>Capex!J78</f>
        <v>0</v>
      </c>
      <c r="M80" s="170">
        <f>Capex!K78</f>
        <v>5502.9752900000003</v>
      </c>
      <c r="N80" s="170">
        <f>Capex!L78</f>
        <v>0</v>
      </c>
      <c r="O80" s="170">
        <f>Capex!M78</f>
        <v>0</v>
      </c>
      <c r="P80" s="170">
        <f>Capex!N78</f>
        <v>0</v>
      </c>
    </row>
    <row r="81" spans="2:16" ht="13" hidden="1" outlineLevel="1" x14ac:dyDescent="0.3">
      <c r="B81" s="7"/>
      <c r="C81" s="4" t="s">
        <v>414</v>
      </c>
      <c r="D81" s="6" t="s">
        <v>322</v>
      </c>
      <c r="E81" s="6" t="s">
        <v>56</v>
      </c>
      <c r="F81" s="67">
        <f t="shared" si="10"/>
        <v>232.84729999999999</v>
      </c>
      <c r="H81" s="170">
        <f>Capex!F79</f>
        <v>0</v>
      </c>
      <c r="I81" s="170">
        <f>Capex!G79</f>
        <v>0</v>
      </c>
      <c r="J81" s="170">
        <f>Capex!H79</f>
        <v>0</v>
      </c>
      <c r="K81" s="170">
        <f>Capex!I79</f>
        <v>0</v>
      </c>
      <c r="L81" s="170">
        <f>Capex!J79</f>
        <v>0</v>
      </c>
      <c r="M81" s="170">
        <f>Capex!K79</f>
        <v>232.84729999999999</v>
      </c>
      <c r="N81" s="170">
        <f>Capex!L79</f>
        <v>0</v>
      </c>
      <c r="O81" s="170">
        <f>Capex!M79</f>
        <v>0</v>
      </c>
      <c r="P81" s="170">
        <f>Capex!N79</f>
        <v>0</v>
      </c>
    </row>
    <row r="82" spans="2:16" ht="13" hidden="1" outlineLevel="1" x14ac:dyDescent="0.3">
      <c r="B82" s="7"/>
      <c r="C82" s="4" t="s">
        <v>415</v>
      </c>
      <c r="D82" s="6" t="s">
        <v>322</v>
      </c>
      <c r="E82" s="6" t="s">
        <v>56</v>
      </c>
      <c r="F82" s="67">
        <f t="shared" si="10"/>
        <v>2381.8366099999998</v>
      </c>
      <c r="H82" s="170">
        <f>Capex!F80</f>
        <v>0</v>
      </c>
      <c r="I82" s="170">
        <f>Capex!G80</f>
        <v>0</v>
      </c>
      <c r="J82" s="170">
        <f>Capex!H80</f>
        <v>0</v>
      </c>
      <c r="K82" s="170">
        <f>Capex!I80</f>
        <v>0</v>
      </c>
      <c r="L82" s="170">
        <f>Capex!J80</f>
        <v>0</v>
      </c>
      <c r="M82" s="170">
        <f>Capex!K80</f>
        <v>2381.8366099999998</v>
      </c>
      <c r="N82" s="170">
        <f>Capex!L80</f>
        <v>0</v>
      </c>
      <c r="O82" s="170">
        <f>Capex!M80</f>
        <v>0</v>
      </c>
      <c r="P82" s="170">
        <f>Capex!N80</f>
        <v>0</v>
      </c>
    </row>
    <row r="83" spans="2:16" ht="13" hidden="1" outlineLevel="1" x14ac:dyDescent="0.3">
      <c r="B83" s="7"/>
      <c r="C83" s="4" t="s">
        <v>416</v>
      </c>
      <c r="D83" s="6" t="s">
        <v>322</v>
      </c>
      <c r="E83" s="6" t="s">
        <v>56</v>
      </c>
      <c r="F83" s="67">
        <f t="shared" si="10"/>
        <v>363.42553000000004</v>
      </c>
      <c r="H83" s="170">
        <f>Capex!F81</f>
        <v>0</v>
      </c>
      <c r="I83" s="170">
        <f>Capex!G81</f>
        <v>0</v>
      </c>
      <c r="J83" s="170">
        <f>Capex!H81</f>
        <v>0</v>
      </c>
      <c r="K83" s="170">
        <f>Capex!I81</f>
        <v>0</v>
      </c>
      <c r="L83" s="170">
        <f>Capex!J81</f>
        <v>0</v>
      </c>
      <c r="M83" s="170">
        <f>Capex!K81</f>
        <v>363.42553000000004</v>
      </c>
      <c r="N83" s="170">
        <f>Capex!L81</f>
        <v>0</v>
      </c>
      <c r="O83" s="170">
        <f>Capex!M81</f>
        <v>0</v>
      </c>
      <c r="P83" s="170">
        <f>Capex!N81</f>
        <v>0</v>
      </c>
    </row>
    <row r="84" spans="2:16" ht="13" hidden="1" outlineLevel="1" x14ac:dyDescent="0.3">
      <c r="B84" s="7"/>
      <c r="C84" s="4" t="s">
        <v>417</v>
      </c>
      <c r="D84" s="6" t="s">
        <v>322</v>
      </c>
      <c r="E84" s="6" t="s">
        <v>56</v>
      </c>
      <c r="F84" s="67">
        <f t="shared" si="10"/>
        <v>5.35806</v>
      </c>
      <c r="H84" s="170">
        <f>Capex!F82</f>
        <v>0</v>
      </c>
      <c r="I84" s="170">
        <f>Capex!G82</f>
        <v>0</v>
      </c>
      <c r="J84" s="170">
        <f>Capex!H82</f>
        <v>0</v>
      </c>
      <c r="K84" s="170">
        <f>Capex!I82</f>
        <v>0</v>
      </c>
      <c r="L84" s="170">
        <f>Capex!J82</f>
        <v>0</v>
      </c>
      <c r="M84" s="170">
        <f>Capex!K82</f>
        <v>5.35806</v>
      </c>
      <c r="N84" s="170">
        <f>Capex!L82</f>
        <v>0</v>
      </c>
      <c r="O84" s="170">
        <f>Capex!M82</f>
        <v>0</v>
      </c>
      <c r="P84" s="170">
        <f>Capex!N82</f>
        <v>0</v>
      </c>
    </row>
    <row r="85" spans="2:16" hidden="1" outlineLevel="1" x14ac:dyDescent="0.25">
      <c r="C85" s="4" t="s">
        <v>418</v>
      </c>
      <c r="D85" s="6" t="s">
        <v>322</v>
      </c>
      <c r="E85" s="6" t="s">
        <v>56</v>
      </c>
      <c r="F85" s="67">
        <f t="shared" si="10"/>
        <v>291.54576000000003</v>
      </c>
      <c r="H85" s="170">
        <f>Capex!F83</f>
        <v>0</v>
      </c>
      <c r="I85" s="170">
        <f>Capex!G83</f>
        <v>0</v>
      </c>
      <c r="J85" s="170">
        <f>Capex!H83</f>
        <v>0</v>
      </c>
      <c r="K85" s="170">
        <f>Capex!I83</f>
        <v>0</v>
      </c>
      <c r="L85" s="170">
        <f>Capex!J83</f>
        <v>0</v>
      </c>
      <c r="M85" s="170">
        <f>Capex!K83</f>
        <v>291.54576000000003</v>
      </c>
      <c r="N85" s="170">
        <f>Capex!L83</f>
        <v>0</v>
      </c>
      <c r="O85" s="170">
        <f>Capex!M83</f>
        <v>0</v>
      </c>
      <c r="P85" s="170">
        <f>Capex!N83</f>
        <v>0</v>
      </c>
    </row>
    <row r="86" spans="2:16" hidden="1" outlineLevel="1" x14ac:dyDescent="0.25">
      <c r="C86" s="4" t="s">
        <v>419</v>
      </c>
      <c r="D86" s="6" t="s">
        <v>322</v>
      </c>
      <c r="E86" s="6" t="s">
        <v>56</v>
      </c>
      <c r="F86" s="67">
        <f t="shared" si="10"/>
        <v>1260.7357299999999</v>
      </c>
      <c r="H86" s="170">
        <f>Capex!F84</f>
        <v>0</v>
      </c>
      <c r="I86" s="170">
        <f>Capex!G84</f>
        <v>0</v>
      </c>
      <c r="J86" s="170">
        <f>Capex!H84</f>
        <v>0</v>
      </c>
      <c r="K86" s="170">
        <f>Capex!I84</f>
        <v>0</v>
      </c>
      <c r="L86" s="170">
        <f>Capex!J84</f>
        <v>0</v>
      </c>
      <c r="M86" s="170">
        <f>Capex!K84</f>
        <v>1260.7357299999999</v>
      </c>
      <c r="N86" s="170">
        <f>Capex!L84</f>
        <v>0</v>
      </c>
      <c r="O86" s="170">
        <f>Capex!M84</f>
        <v>0</v>
      </c>
      <c r="P86" s="170">
        <f>Capex!N84</f>
        <v>0</v>
      </c>
    </row>
    <row r="87" spans="2:16" hidden="1" outlineLevel="1" x14ac:dyDescent="0.25">
      <c r="C87" s="4" t="s">
        <v>420</v>
      </c>
      <c r="D87" s="6" t="s">
        <v>322</v>
      </c>
      <c r="E87" s="6" t="s">
        <v>56</v>
      </c>
      <c r="F87" s="67">
        <f t="shared" si="10"/>
        <v>25</v>
      </c>
      <c r="H87" s="170">
        <f>Capex!F85</f>
        <v>0</v>
      </c>
      <c r="I87" s="170">
        <f>Capex!G85</f>
        <v>0</v>
      </c>
      <c r="J87" s="170">
        <f>Capex!H85</f>
        <v>0</v>
      </c>
      <c r="K87" s="170">
        <f>Capex!I85</f>
        <v>0</v>
      </c>
      <c r="L87" s="170">
        <f>Capex!J85</f>
        <v>0</v>
      </c>
      <c r="M87" s="170">
        <f>Capex!K85</f>
        <v>25</v>
      </c>
      <c r="N87" s="170">
        <f>Capex!L85</f>
        <v>0</v>
      </c>
      <c r="O87" s="170">
        <f>Capex!M85</f>
        <v>0</v>
      </c>
      <c r="P87" s="170">
        <f>Capex!N85</f>
        <v>0</v>
      </c>
    </row>
    <row r="88" spans="2:16" hidden="1" outlineLevel="1" x14ac:dyDescent="0.25">
      <c r="C88" s="4" t="s">
        <v>421</v>
      </c>
      <c r="D88" s="6" t="s">
        <v>322</v>
      </c>
      <c r="E88" s="6" t="s">
        <v>56</v>
      </c>
      <c r="F88" s="67">
        <f t="shared" si="10"/>
        <v>53.954300000000003</v>
      </c>
      <c r="H88" s="170">
        <f>Capex!F86</f>
        <v>0</v>
      </c>
      <c r="I88" s="170">
        <f>Capex!G86</f>
        <v>0</v>
      </c>
      <c r="J88" s="170">
        <f>Capex!H86</f>
        <v>0</v>
      </c>
      <c r="K88" s="170">
        <f>Capex!I86</f>
        <v>0</v>
      </c>
      <c r="L88" s="170">
        <f>Capex!J86</f>
        <v>0</v>
      </c>
      <c r="M88" s="170">
        <f>Capex!K86</f>
        <v>53.954300000000003</v>
      </c>
      <c r="N88" s="170">
        <f>Capex!L86</f>
        <v>0</v>
      </c>
      <c r="O88" s="170">
        <f>Capex!M86</f>
        <v>0</v>
      </c>
      <c r="P88" s="170">
        <f>Capex!N86</f>
        <v>0</v>
      </c>
    </row>
    <row r="89" spans="2:16" hidden="1" outlineLevel="1" x14ac:dyDescent="0.25">
      <c r="C89" s="4" t="s">
        <v>422</v>
      </c>
      <c r="D89" s="6" t="s">
        <v>322</v>
      </c>
      <c r="E89" s="6" t="s">
        <v>56</v>
      </c>
      <c r="F89" s="67">
        <f t="shared" si="10"/>
        <v>2450.2863900000002</v>
      </c>
      <c r="H89" s="170">
        <f>Capex!F87</f>
        <v>0</v>
      </c>
      <c r="I89" s="170">
        <f>Capex!G87</f>
        <v>0</v>
      </c>
      <c r="J89" s="170">
        <f>Capex!H87</f>
        <v>0</v>
      </c>
      <c r="K89" s="170">
        <f>Capex!I87</f>
        <v>0</v>
      </c>
      <c r="L89" s="170">
        <f>Capex!J87</f>
        <v>0</v>
      </c>
      <c r="M89" s="170">
        <f>Capex!K87</f>
        <v>2450.2863900000002</v>
      </c>
      <c r="N89" s="170">
        <f>Capex!L87</f>
        <v>0</v>
      </c>
      <c r="O89" s="170">
        <f>Capex!M87</f>
        <v>0</v>
      </c>
      <c r="P89" s="170">
        <f>Capex!N87</f>
        <v>0</v>
      </c>
    </row>
    <row r="90" spans="2:16" hidden="1" outlineLevel="1" x14ac:dyDescent="0.25">
      <c r="C90" s="4" t="s">
        <v>423</v>
      </c>
      <c r="D90" s="6" t="s">
        <v>322</v>
      </c>
      <c r="E90" s="6" t="s">
        <v>56</v>
      </c>
      <c r="F90" s="67">
        <f t="shared" si="10"/>
        <v>3682.38645</v>
      </c>
      <c r="H90" s="170">
        <f>Capex!F88</f>
        <v>0</v>
      </c>
      <c r="I90" s="170">
        <f>Capex!G88</f>
        <v>0</v>
      </c>
      <c r="J90" s="170">
        <f>Capex!H88</f>
        <v>0</v>
      </c>
      <c r="K90" s="170">
        <f>Capex!I88</f>
        <v>0</v>
      </c>
      <c r="L90" s="170">
        <f>Capex!J88</f>
        <v>0</v>
      </c>
      <c r="M90" s="170">
        <f>Capex!K88</f>
        <v>3682.38645</v>
      </c>
      <c r="N90" s="170">
        <f>Capex!L88</f>
        <v>0</v>
      </c>
      <c r="O90" s="170">
        <f>Capex!M88</f>
        <v>0</v>
      </c>
      <c r="P90" s="170">
        <f>Capex!N88</f>
        <v>0</v>
      </c>
    </row>
    <row r="91" spans="2:16" hidden="1" outlineLevel="1" x14ac:dyDescent="0.25">
      <c r="C91" s="4" t="s">
        <v>424</v>
      </c>
      <c r="D91" s="6" t="s">
        <v>322</v>
      </c>
      <c r="E91" s="6" t="s">
        <v>56</v>
      </c>
      <c r="F91" s="67">
        <f t="shared" si="10"/>
        <v>1774.5120200000001</v>
      </c>
      <c r="H91" s="170">
        <f>Capex!F89</f>
        <v>0</v>
      </c>
      <c r="I91" s="170">
        <f>Capex!G89</f>
        <v>0</v>
      </c>
      <c r="J91" s="170">
        <f>Capex!H89</f>
        <v>0</v>
      </c>
      <c r="K91" s="170">
        <f>Capex!I89</f>
        <v>0</v>
      </c>
      <c r="L91" s="170">
        <f>Capex!J89</f>
        <v>0</v>
      </c>
      <c r="M91" s="170">
        <f>Capex!K89</f>
        <v>1774.5120200000001</v>
      </c>
      <c r="N91" s="170">
        <f>Capex!L89</f>
        <v>0</v>
      </c>
      <c r="O91" s="170">
        <f>Capex!M89</f>
        <v>0</v>
      </c>
      <c r="P91" s="170">
        <f>Capex!N89</f>
        <v>0</v>
      </c>
    </row>
    <row r="92" spans="2:16" hidden="1" outlineLevel="1" x14ac:dyDescent="0.25">
      <c r="C92" s="4" t="s">
        <v>425</v>
      </c>
      <c r="D92" s="6" t="s">
        <v>322</v>
      </c>
      <c r="E92" s="6" t="s">
        <v>56</v>
      </c>
      <c r="F92" s="67">
        <f t="shared" si="10"/>
        <v>98.928479999999979</v>
      </c>
      <c r="H92" s="170">
        <f>Capex!F90</f>
        <v>0</v>
      </c>
      <c r="I92" s="170">
        <f>Capex!G90</f>
        <v>0</v>
      </c>
      <c r="J92" s="170">
        <f>Capex!H90</f>
        <v>0</v>
      </c>
      <c r="K92" s="170">
        <f>Capex!I90</f>
        <v>0</v>
      </c>
      <c r="L92" s="170">
        <f>Capex!J90</f>
        <v>0</v>
      </c>
      <c r="M92" s="170">
        <f>Capex!K90</f>
        <v>98.928479999999979</v>
      </c>
      <c r="N92" s="170">
        <f>Capex!L90</f>
        <v>0</v>
      </c>
      <c r="O92" s="170">
        <f>Capex!M90</f>
        <v>0</v>
      </c>
      <c r="P92" s="170">
        <f>Capex!N90</f>
        <v>0</v>
      </c>
    </row>
    <row r="93" spans="2:16" hidden="1" outlineLevel="1" x14ac:dyDescent="0.25">
      <c r="C93" s="4" t="s">
        <v>426</v>
      </c>
      <c r="D93" s="6" t="s">
        <v>322</v>
      </c>
      <c r="E93" s="6" t="s">
        <v>56</v>
      </c>
      <c r="F93" s="67">
        <f t="shared" si="10"/>
        <v>1099.3125199999999</v>
      </c>
      <c r="H93" s="170">
        <f>Capex!F91</f>
        <v>0</v>
      </c>
      <c r="I93" s="170">
        <f>Capex!G91</f>
        <v>0</v>
      </c>
      <c r="J93" s="170">
        <f>Capex!H91</f>
        <v>0</v>
      </c>
      <c r="K93" s="170">
        <f>Capex!I91</f>
        <v>0</v>
      </c>
      <c r="L93" s="170">
        <f>Capex!J91</f>
        <v>0</v>
      </c>
      <c r="M93" s="170">
        <f>Capex!K91</f>
        <v>1099.3125199999999</v>
      </c>
      <c r="N93" s="170">
        <f>Capex!L91</f>
        <v>0</v>
      </c>
      <c r="O93" s="170">
        <f>Capex!M91</f>
        <v>0</v>
      </c>
      <c r="P93" s="170">
        <f>Capex!N91</f>
        <v>0</v>
      </c>
    </row>
    <row r="94" spans="2:16" hidden="1" outlineLevel="1" x14ac:dyDescent="0.25">
      <c r="C94" s="4" t="s">
        <v>427</v>
      </c>
      <c r="D94" s="6" t="s">
        <v>322</v>
      </c>
      <c r="E94" s="6" t="s">
        <v>56</v>
      </c>
      <c r="F94" s="67">
        <f t="shared" si="10"/>
        <v>1022.5224999999999</v>
      </c>
      <c r="H94" s="170">
        <f>Capex!F92</f>
        <v>0</v>
      </c>
      <c r="I94" s="170">
        <f>Capex!G92</f>
        <v>0</v>
      </c>
      <c r="J94" s="170">
        <f>Capex!H92</f>
        <v>0</v>
      </c>
      <c r="K94" s="170">
        <f>Capex!I92</f>
        <v>0</v>
      </c>
      <c r="L94" s="170">
        <f>Capex!J92</f>
        <v>0</v>
      </c>
      <c r="M94" s="170">
        <f>Capex!K92</f>
        <v>1022.5224999999999</v>
      </c>
      <c r="N94" s="170">
        <f>Capex!L92</f>
        <v>0</v>
      </c>
      <c r="O94" s="170">
        <f>Capex!M92</f>
        <v>0</v>
      </c>
      <c r="P94" s="170">
        <f>Capex!N92</f>
        <v>0</v>
      </c>
    </row>
    <row r="95" spans="2:16" hidden="1" outlineLevel="1" x14ac:dyDescent="0.25">
      <c r="C95" s="4" t="s">
        <v>428</v>
      </c>
      <c r="D95" s="6" t="s">
        <v>322</v>
      </c>
      <c r="E95" s="6" t="s">
        <v>56</v>
      </c>
      <c r="F95" s="67">
        <f t="shared" si="10"/>
        <v>834.16380999999978</v>
      </c>
      <c r="H95" s="170">
        <f>Capex!F93</f>
        <v>0</v>
      </c>
      <c r="I95" s="170">
        <f>Capex!G93</f>
        <v>0</v>
      </c>
      <c r="J95" s="170">
        <f>Capex!H93</f>
        <v>0</v>
      </c>
      <c r="K95" s="170">
        <f>Capex!I93</f>
        <v>0</v>
      </c>
      <c r="L95" s="170">
        <f>Capex!J93</f>
        <v>0</v>
      </c>
      <c r="M95" s="170">
        <f>Capex!K93</f>
        <v>834.16380999999978</v>
      </c>
      <c r="N95" s="170">
        <f>Capex!L93</f>
        <v>0</v>
      </c>
      <c r="O95" s="170">
        <f>Capex!M93</f>
        <v>0</v>
      </c>
      <c r="P95" s="170">
        <f>Capex!N93</f>
        <v>0</v>
      </c>
    </row>
    <row r="96" spans="2:16" hidden="1" outlineLevel="1" x14ac:dyDescent="0.25">
      <c r="C96" s="4" t="s">
        <v>429</v>
      </c>
      <c r="D96" s="6" t="s">
        <v>322</v>
      </c>
      <c r="E96" s="6" t="s">
        <v>56</v>
      </c>
      <c r="F96" s="67">
        <f t="shared" si="10"/>
        <v>1482.5186900000006</v>
      </c>
      <c r="H96" s="170">
        <f>Capex!F94</f>
        <v>0</v>
      </c>
      <c r="I96" s="170">
        <f>Capex!G94</f>
        <v>0</v>
      </c>
      <c r="J96" s="170">
        <f>Capex!H94</f>
        <v>0</v>
      </c>
      <c r="K96" s="170">
        <f>Capex!I94</f>
        <v>0</v>
      </c>
      <c r="L96" s="170">
        <f>Capex!J94</f>
        <v>0</v>
      </c>
      <c r="M96" s="170">
        <f>Capex!K94</f>
        <v>1482.5186900000006</v>
      </c>
      <c r="N96" s="170">
        <f>Capex!L94</f>
        <v>0</v>
      </c>
      <c r="O96" s="170">
        <f>Capex!M94</f>
        <v>0</v>
      </c>
      <c r="P96" s="170">
        <f>Capex!N94</f>
        <v>0</v>
      </c>
    </row>
    <row r="97" spans="3:16" hidden="1" outlineLevel="1" x14ac:dyDescent="0.25">
      <c r="C97" s="4" t="s">
        <v>430</v>
      </c>
      <c r="D97" s="6" t="s">
        <v>322</v>
      </c>
      <c r="E97" s="6" t="s">
        <v>56</v>
      </c>
      <c r="F97" s="67">
        <f t="shared" si="10"/>
        <v>1392.6906499999998</v>
      </c>
      <c r="H97" s="170">
        <f>Capex!F95</f>
        <v>0</v>
      </c>
      <c r="I97" s="170">
        <f>Capex!G95</f>
        <v>0</v>
      </c>
      <c r="J97" s="170">
        <f>Capex!H95</f>
        <v>0</v>
      </c>
      <c r="K97" s="170">
        <f>Capex!I95</f>
        <v>0</v>
      </c>
      <c r="L97" s="170">
        <f>Capex!J95</f>
        <v>0</v>
      </c>
      <c r="M97" s="170">
        <f>Capex!K95</f>
        <v>1392.6906499999998</v>
      </c>
      <c r="N97" s="170">
        <f>Capex!L95</f>
        <v>0</v>
      </c>
      <c r="O97" s="170">
        <f>Capex!M95</f>
        <v>0</v>
      </c>
      <c r="P97" s="170">
        <f>Capex!N95</f>
        <v>0</v>
      </c>
    </row>
    <row r="98" spans="3:16" hidden="1" outlineLevel="1" x14ac:dyDescent="0.25">
      <c r="C98" s="4" t="s">
        <v>431</v>
      </c>
      <c r="D98" s="6" t="s">
        <v>322</v>
      </c>
      <c r="E98" s="6" t="s">
        <v>56</v>
      </c>
      <c r="F98" s="67">
        <f t="shared" si="10"/>
        <v>544.7828300000001</v>
      </c>
      <c r="H98" s="170">
        <f>Capex!F96</f>
        <v>0</v>
      </c>
      <c r="I98" s="170">
        <f>Capex!G96</f>
        <v>0</v>
      </c>
      <c r="J98" s="170">
        <f>Capex!H96</f>
        <v>0</v>
      </c>
      <c r="K98" s="170">
        <f>Capex!I96</f>
        <v>0</v>
      </c>
      <c r="L98" s="170">
        <f>Capex!J96</f>
        <v>0</v>
      </c>
      <c r="M98" s="170">
        <f>Capex!K96</f>
        <v>544.7828300000001</v>
      </c>
      <c r="N98" s="170">
        <f>Capex!L96</f>
        <v>0</v>
      </c>
      <c r="O98" s="170">
        <f>Capex!M96</f>
        <v>0</v>
      </c>
      <c r="P98" s="170">
        <f>Capex!N96</f>
        <v>0</v>
      </c>
    </row>
    <row r="99" spans="3:16" hidden="1" outlineLevel="1" x14ac:dyDescent="0.25">
      <c r="C99" s="4" t="s">
        <v>432</v>
      </c>
      <c r="D99" s="6" t="s">
        <v>322</v>
      </c>
      <c r="E99" s="6" t="s">
        <v>56</v>
      </c>
      <c r="F99" s="67">
        <f t="shared" si="10"/>
        <v>369.81490000000002</v>
      </c>
      <c r="H99" s="170">
        <f>Capex!F97</f>
        <v>0</v>
      </c>
      <c r="I99" s="170">
        <f>Capex!G97</f>
        <v>0</v>
      </c>
      <c r="J99" s="170">
        <f>Capex!H97</f>
        <v>0</v>
      </c>
      <c r="K99" s="170">
        <f>Capex!I97</f>
        <v>0</v>
      </c>
      <c r="L99" s="170">
        <f>Capex!J97</f>
        <v>0</v>
      </c>
      <c r="M99" s="170">
        <f>Capex!K97</f>
        <v>369.81490000000002</v>
      </c>
      <c r="N99" s="170">
        <f>Capex!L97</f>
        <v>0</v>
      </c>
      <c r="O99" s="170">
        <f>Capex!M97</f>
        <v>0</v>
      </c>
      <c r="P99" s="170">
        <f>Capex!N97</f>
        <v>0</v>
      </c>
    </row>
    <row r="100" spans="3:16" hidden="1" outlineLevel="1" x14ac:dyDescent="0.25">
      <c r="C100" s="4" t="s">
        <v>433</v>
      </c>
      <c r="D100" s="6" t="s">
        <v>322</v>
      </c>
      <c r="E100" s="6" t="s">
        <v>56</v>
      </c>
      <c r="F100" s="67">
        <f t="shared" si="10"/>
        <v>54.077500000000001</v>
      </c>
      <c r="H100" s="170">
        <f>Capex!F98</f>
        <v>0</v>
      </c>
      <c r="I100" s="170">
        <f>Capex!G98</f>
        <v>0</v>
      </c>
      <c r="J100" s="170">
        <f>Capex!H98</f>
        <v>0</v>
      </c>
      <c r="K100" s="170">
        <f>Capex!I98</f>
        <v>0</v>
      </c>
      <c r="L100" s="170">
        <f>Capex!J98</f>
        <v>0</v>
      </c>
      <c r="M100" s="170">
        <f>Capex!K98</f>
        <v>54.077500000000001</v>
      </c>
      <c r="N100" s="170">
        <f>Capex!L98</f>
        <v>0</v>
      </c>
      <c r="O100" s="170">
        <f>Capex!M98</f>
        <v>0</v>
      </c>
      <c r="P100" s="170">
        <f>Capex!N98</f>
        <v>0</v>
      </c>
    </row>
    <row r="101" spans="3:16" hidden="1" outlineLevel="1" x14ac:dyDescent="0.25">
      <c r="C101" s="4" t="s">
        <v>434</v>
      </c>
      <c r="D101" s="6" t="s">
        <v>322</v>
      </c>
      <c r="E101" s="6" t="s">
        <v>56</v>
      </c>
      <c r="F101" s="67">
        <f t="shared" si="10"/>
        <v>829.34685000000002</v>
      </c>
      <c r="H101" s="170">
        <f>Capex!F99</f>
        <v>0</v>
      </c>
      <c r="I101" s="170">
        <f>Capex!G99</f>
        <v>0</v>
      </c>
      <c r="J101" s="170">
        <f>Capex!H99</f>
        <v>0</v>
      </c>
      <c r="K101" s="170">
        <f>Capex!I99</f>
        <v>0</v>
      </c>
      <c r="L101" s="170">
        <f>Capex!J99</f>
        <v>0</v>
      </c>
      <c r="M101" s="170">
        <f>Capex!K99</f>
        <v>829.34685000000002</v>
      </c>
      <c r="N101" s="170">
        <f>Capex!L99</f>
        <v>0</v>
      </c>
      <c r="O101" s="170">
        <f>Capex!M99</f>
        <v>0</v>
      </c>
      <c r="P101" s="170">
        <f>Capex!N99</f>
        <v>0</v>
      </c>
    </row>
    <row r="102" spans="3:16" hidden="1" outlineLevel="1" x14ac:dyDescent="0.25">
      <c r="C102" s="4" t="s">
        <v>435</v>
      </c>
      <c r="D102" s="6" t="s">
        <v>322</v>
      </c>
      <c r="E102" s="6" t="s">
        <v>56</v>
      </c>
      <c r="F102" s="67">
        <f t="shared" si="10"/>
        <v>260.99295999999987</v>
      </c>
      <c r="H102" s="170">
        <f>Capex!F100</f>
        <v>0</v>
      </c>
      <c r="I102" s="170">
        <f>Capex!G100</f>
        <v>0</v>
      </c>
      <c r="J102" s="170">
        <f>Capex!H100</f>
        <v>0</v>
      </c>
      <c r="K102" s="170">
        <f>Capex!I100</f>
        <v>0</v>
      </c>
      <c r="L102" s="170">
        <f>Capex!J100</f>
        <v>0</v>
      </c>
      <c r="M102" s="170">
        <f>Capex!K100</f>
        <v>260.99295999999987</v>
      </c>
      <c r="N102" s="170">
        <f>Capex!L100</f>
        <v>0</v>
      </c>
      <c r="O102" s="170">
        <f>Capex!M100</f>
        <v>0</v>
      </c>
      <c r="P102" s="170">
        <f>Capex!N100</f>
        <v>0</v>
      </c>
    </row>
    <row r="103" spans="3:16" hidden="1" outlineLevel="1" x14ac:dyDescent="0.25">
      <c r="C103" s="4" t="s">
        <v>436</v>
      </c>
      <c r="D103" s="6" t="s">
        <v>322</v>
      </c>
      <c r="E103" s="6" t="s">
        <v>56</v>
      </c>
      <c r="F103" s="67">
        <f t="shared" si="10"/>
        <v>213.94876000000002</v>
      </c>
      <c r="H103" s="170">
        <f>Capex!F101</f>
        <v>0</v>
      </c>
      <c r="I103" s="170">
        <f>Capex!G101</f>
        <v>0</v>
      </c>
      <c r="J103" s="170">
        <f>Capex!H101</f>
        <v>0</v>
      </c>
      <c r="K103" s="170">
        <f>Capex!I101</f>
        <v>0</v>
      </c>
      <c r="L103" s="170">
        <f>Capex!J101</f>
        <v>0</v>
      </c>
      <c r="M103" s="170">
        <f>Capex!K101</f>
        <v>213.94876000000002</v>
      </c>
      <c r="N103" s="170">
        <f>Capex!L101</f>
        <v>0</v>
      </c>
      <c r="O103" s="170">
        <f>Capex!M101</f>
        <v>0</v>
      </c>
      <c r="P103" s="170">
        <f>Capex!N101</f>
        <v>0</v>
      </c>
    </row>
    <row r="104" spans="3:16" hidden="1" outlineLevel="1" x14ac:dyDescent="0.25">
      <c r="C104" s="4" t="s">
        <v>437</v>
      </c>
      <c r="D104" s="6" t="s">
        <v>322</v>
      </c>
      <c r="E104" s="6" t="s">
        <v>56</v>
      </c>
      <c r="F104" s="67">
        <f t="shared" si="10"/>
        <v>127.58327</v>
      </c>
      <c r="H104" s="170">
        <f>Capex!F102</f>
        <v>0</v>
      </c>
      <c r="I104" s="170">
        <f>Capex!G102</f>
        <v>0</v>
      </c>
      <c r="J104" s="170">
        <f>Capex!H102</f>
        <v>0</v>
      </c>
      <c r="K104" s="170">
        <f>Capex!I102</f>
        <v>0</v>
      </c>
      <c r="L104" s="170">
        <f>Capex!J102</f>
        <v>0</v>
      </c>
      <c r="M104" s="170">
        <f>Capex!K102</f>
        <v>127.58327</v>
      </c>
      <c r="N104" s="170">
        <f>Capex!L102</f>
        <v>0</v>
      </c>
      <c r="O104" s="170">
        <f>Capex!M102</f>
        <v>0</v>
      </c>
      <c r="P104" s="170">
        <f>Capex!N102</f>
        <v>0</v>
      </c>
    </row>
    <row r="105" spans="3:16" hidden="1" outlineLevel="1" x14ac:dyDescent="0.25">
      <c r="C105" s="4" t="s">
        <v>438</v>
      </c>
      <c r="D105" s="6" t="s">
        <v>322</v>
      </c>
      <c r="E105" s="6" t="s">
        <v>56</v>
      </c>
      <c r="F105" s="67">
        <f t="shared" si="10"/>
        <v>1322.9923100000001</v>
      </c>
      <c r="H105" s="170">
        <f>Capex!F103</f>
        <v>0</v>
      </c>
      <c r="I105" s="170">
        <f>Capex!G103</f>
        <v>0</v>
      </c>
      <c r="J105" s="170">
        <f>Capex!H103</f>
        <v>0</v>
      </c>
      <c r="K105" s="170">
        <f>Capex!I103</f>
        <v>0</v>
      </c>
      <c r="L105" s="170">
        <f>Capex!J103</f>
        <v>0</v>
      </c>
      <c r="M105" s="170">
        <f>Capex!K103</f>
        <v>1322.9923100000001</v>
      </c>
      <c r="N105" s="170">
        <f>Capex!L103</f>
        <v>0</v>
      </c>
      <c r="O105" s="170">
        <f>Capex!M103</f>
        <v>0</v>
      </c>
      <c r="P105" s="170">
        <f>Capex!N103</f>
        <v>0</v>
      </c>
    </row>
    <row r="106" spans="3:16" hidden="1" outlineLevel="1" x14ac:dyDescent="0.25">
      <c r="C106" s="4" t="s">
        <v>439</v>
      </c>
      <c r="D106" s="6" t="s">
        <v>322</v>
      </c>
      <c r="E106" s="6" t="s">
        <v>56</v>
      </c>
      <c r="F106" s="67">
        <f t="shared" si="10"/>
        <v>10.5</v>
      </c>
      <c r="H106" s="170">
        <f>Capex!F104</f>
        <v>0</v>
      </c>
      <c r="I106" s="170">
        <f>Capex!G104</f>
        <v>0</v>
      </c>
      <c r="J106" s="170">
        <f>Capex!H104</f>
        <v>0</v>
      </c>
      <c r="K106" s="170">
        <f>Capex!I104</f>
        <v>0</v>
      </c>
      <c r="L106" s="170">
        <f>Capex!J104</f>
        <v>0</v>
      </c>
      <c r="M106" s="170">
        <f>Capex!K104</f>
        <v>10.5</v>
      </c>
      <c r="N106" s="170">
        <f>Capex!L104</f>
        <v>0</v>
      </c>
      <c r="O106" s="170">
        <f>Capex!M104</f>
        <v>0</v>
      </c>
      <c r="P106" s="170">
        <f>Capex!N104</f>
        <v>0</v>
      </c>
    </row>
    <row r="107" spans="3:16" hidden="1" outlineLevel="1" x14ac:dyDescent="0.25">
      <c r="C107" s="4" t="s">
        <v>440</v>
      </c>
      <c r="D107" s="6" t="s">
        <v>322</v>
      </c>
      <c r="E107" s="6" t="s">
        <v>56</v>
      </c>
      <c r="F107" s="67">
        <f t="shared" si="10"/>
        <v>61.008330000000001</v>
      </c>
      <c r="H107" s="170">
        <f>Capex!F105</f>
        <v>0</v>
      </c>
      <c r="I107" s="170">
        <f>Capex!G105</f>
        <v>0</v>
      </c>
      <c r="J107" s="170">
        <f>Capex!H105</f>
        <v>0</v>
      </c>
      <c r="K107" s="170">
        <f>Capex!I105</f>
        <v>0</v>
      </c>
      <c r="L107" s="170">
        <f>Capex!J105</f>
        <v>0</v>
      </c>
      <c r="M107" s="170">
        <f>Capex!K105</f>
        <v>61.008330000000001</v>
      </c>
      <c r="N107" s="170">
        <f>Capex!L105</f>
        <v>0</v>
      </c>
      <c r="O107" s="170">
        <f>Capex!M105</f>
        <v>0</v>
      </c>
      <c r="P107" s="170">
        <f>Capex!N105</f>
        <v>0</v>
      </c>
    </row>
    <row r="108" spans="3:16" hidden="1" outlineLevel="1" x14ac:dyDescent="0.25">
      <c r="C108" s="4" t="s">
        <v>441</v>
      </c>
      <c r="D108" s="6" t="s">
        <v>322</v>
      </c>
      <c r="E108" s="6" t="s">
        <v>56</v>
      </c>
      <c r="F108" s="67">
        <f t="shared" si="10"/>
        <v>399.16775999999999</v>
      </c>
      <c r="H108" s="170">
        <f>Capex!F106</f>
        <v>0</v>
      </c>
      <c r="I108" s="170">
        <f>Capex!G106</f>
        <v>0</v>
      </c>
      <c r="J108" s="170">
        <f>Capex!H106</f>
        <v>0</v>
      </c>
      <c r="K108" s="170">
        <f>Capex!I106</f>
        <v>0</v>
      </c>
      <c r="L108" s="170">
        <f>Capex!J106</f>
        <v>0</v>
      </c>
      <c r="M108" s="170">
        <f>Capex!K106</f>
        <v>399.16775999999999</v>
      </c>
      <c r="N108" s="170">
        <f>Capex!L106</f>
        <v>0</v>
      </c>
      <c r="O108" s="170">
        <f>Capex!M106</f>
        <v>0</v>
      </c>
      <c r="P108" s="170">
        <f>Capex!N106</f>
        <v>0</v>
      </c>
    </row>
    <row r="109" spans="3:16" hidden="1" outlineLevel="1" x14ac:dyDescent="0.25">
      <c r="C109" s="4" t="s">
        <v>442</v>
      </c>
      <c r="D109" s="6" t="s">
        <v>322</v>
      </c>
      <c r="E109" s="6" t="s">
        <v>56</v>
      </c>
      <c r="F109" s="67">
        <f t="shared" si="10"/>
        <v>3105.9148500000001</v>
      </c>
      <c r="H109" s="170">
        <f>Capex!F107</f>
        <v>0</v>
      </c>
      <c r="I109" s="170">
        <f>Capex!G107</f>
        <v>0</v>
      </c>
      <c r="J109" s="170">
        <f>Capex!H107</f>
        <v>0</v>
      </c>
      <c r="K109" s="170">
        <f>Capex!I107</f>
        <v>0</v>
      </c>
      <c r="L109" s="170">
        <f>Capex!J107</f>
        <v>0</v>
      </c>
      <c r="M109" s="170">
        <f>Capex!K107</f>
        <v>3105.9148500000001</v>
      </c>
      <c r="N109" s="170">
        <f>Capex!L107</f>
        <v>0</v>
      </c>
      <c r="O109" s="170">
        <f>Capex!M107</f>
        <v>0</v>
      </c>
      <c r="P109" s="170">
        <f>Capex!N107</f>
        <v>0</v>
      </c>
    </row>
    <row r="110" spans="3:16" hidden="1" outlineLevel="1" x14ac:dyDescent="0.25">
      <c r="C110" s="4" t="s">
        <v>443</v>
      </c>
      <c r="D110" s="6" t="s">
        <v>322</v>
      </c>
      <c r="E110" s="6" t="s">
        <v>56</v>
      </c>
      <c r="F110" s="67">
        <f t="shared" si="10"/>
        <v>42.813309999999994</v>
      </c>
      <c r="H110" s="170">
        <f>Capex!F108</f>
        <v>0</v>
      </c>
      <c r="I110" s="170">
        <f>Capex!G108</f>
        <v>0</v>
      </c>
      <c r="J110" s="170">
        <f>Capex!H108</f>
        <v>0</v>
      </c>
      <c r="K110" s="170">
        <f>Capex!I108</f>
        <v>0</v>
      </c>
      <c r="L110" s="170">
        <f>Capex!J108</f>
        <v>0</v>
      </c>
      <c r="M110" s="170">
        <f>Capex!K108</f>
        <v>0</v>
      </c>
      <c r="N110" s="170">
        <f>Capex!L108</f>
        <v>42.813309999999994</v>
      </c>
      <c r="O110" s="170">
        <f>Capex!M108</f>
        <v>0</v>
      </c>
      <c r="P110" s="170">
        <f>Capex!N108</f>
        <v>0</v>
      </c>
    </row>
    <row r="111" spans="3:16" hidden="1" outlineLevel="1" x14ac:dyDescent="0.25">
      <c r="C111" s="4" t="s">
        <v>444</v>
      </c>
      <c r="D111" s="6" t="s">
        <v>322</v>
      </c>
      <c r="E111" s="6" t="s">
        <v>56</v>
      </c>
      <c r="F111" s="67">
        <f t="shared" si="10"/>
        <v>344.40679999999998</v>
      </c>
      <c r="H111" s="170">
        <f>Capex!F109</f>
        <v>0</v>
      </c>
      <c r="I111" s="170">
        <f>Capex!G109</f>
        <v>0</v>
      </c>
      <c r="J111" s="170">
        <f>Capex!H109</f>
        <v>0</v>
      </c>
      <c r="K111" s="170">
        <f>Capex!I109</f>
        <v>0</v>
      </c>
      <c r="L111" s="170">
        <f>Capex!J109</f>
        <v>0</v>
      </c>
      <c r="M111" s="170">
        <f>Capex!K109</f>
        <v>0</v>
      </c>
      <c r="N111" s="170">
        <f>Capex!L109</f>
        <v>344.40679999999998</v>
      </c>
      <c r="O111" s="170">
        <f>Capex!M109</f>
        <v>0</v>
      </c>
      <c r="P111" s="170">
        <f>Capex!N109</f>
        <v>0</v>
      </c>
    </row>
    <row r="112" spans="3:16" hidden="1" outlineLevel="1" x14ac:dyDescent="0.25">
      <c r="C112" s="4" t="s">
        <v>445</v>
      </c>
      <c r="D112" s="6" t="s">
        <v>322</v>
      </c>
      <c r="E112" s="6" t="s">
        <v>56</v>
      </c>
      <c r="F112" s="67">
        <f t="shared" si="10"/>
        <v>247.30784000000031</v>
      </c>
      <c r="H112" s="170">
        <f>Capex!F110</f>
        <v>0</v>
      </c>
      <c r="I112" s="170">
        <f>Capex!G110</f>
        <v>0</v>
      </c>
      <c r="J112" s="170">
        <f>Capex!H110</f>
        <v>0</v>
      </c>
      <c r="K112" s="170">
        <f>Capex!I110</f>
        <v>0</v>
      </c>
      <c r="L112" s="170">
        <f>Capex!J110</f>
        <v>0</v>
      </c>
      <c r="M112" s="170">
        <f>Capex!K110</f>
        <v>0</v>
      </c>
      <c r="N112" s="170">
        <f>Capex!L110</f>
        <v>0</v>
      </c>
      <c r="O112" s="170">
        <f>Capex!M110</f>
        <v>247.30784000000031</v>
      </c>
      <c r="P112" s="170">
        <f>Capex!N110</f>
        <v>0</v>
      </c>
    </row>
    <row r="113" spans="2:16" hidden="1" outlineLevel="1" x14ac:dyDescent="0.25">
      <c r="C113" s="4" t="s">
        <v>446</v>
      </c>
      <c r="D113" s="6" t="s">
        <v>322</v>
      </c>
      <c r="E113" s="6" t="s">
        <v>56</v>
      </c>
      <c r="F113" s="67">
        <f t="shared" si="10"/>
        <v>25.320190000000004</v>
      </c>
      <c r="H113" s="170">
        <f>Capex!F111</f>
        <v>0</v>
      </c>
      <c r="I113" s="170">
        <f>Capex!G111</f>
        <v>0</v>
      </c>
      <c r="J113" s="170">
        <f>Capex!H111</f>
        <v>0</v>
      </c>
      <c r="K113" s="170">
        <f>Capex!I111</f>
        <v>0</v>
      </c>
      <c r="L113" s="170">
        <f>Capex!J111</f>
        <v>0</v>
      </c>
      <c r="M113" s="170">
        <f>Capex!K111</f>
        <v>0</v>
      </c>
      <c r="N113" s="170">
        <f>Capex!L111</f>
        <v>25.320190000000004</v>
      </c>
      <c r="O113" s="170">
        <f>Capex!M111</f>
        <v>0</v>
      </c>
      <c r="P113" s="170">
        <f>Capex!N111</f>
        <v>0</v>
      </c>
    </row>
    <row r="114" spans="2:16" hidden="1" outlineLevel="1" x14ac:dyDescent="0.25">
      <c r="C114" s="4" t="s">
        <v>447</v>
      </c>
      <c r="D114" s="6" t="s">
        <v>322</v>
      </c>
      <c r="E114" s="6" t="s">
        <v>56</v>
      </c>
      <c r="F114" s="67">
        <f t="shared" si="10"/>
        <v>877.03828999999996</v>
      </c>
      <c r="H114" s="170">
        <f>Capex!F112</f>
        <v>0</v>
      </c>
      <c r="I114" s="170">
        <f>Capex!G112</f>
        <v>0</v>
      </c>
      <c r="J114" s="170">
        <f>Capex!H112</f>
        <v>0</v>
      </c>
      <c r="K114" s="170">
        <f>Capex!I112</f>
        <v>0</v>
      </c>
      <c r="L114" s="170">
        <f>Capex!J112</f>
        <v>0</v>
      </c>
      <c r="M114" s="170">
        <f>Capex!K112</f>
        <v>0</v>
      </c>
      <c r="N114" s="170">
        <f>Capex!L112</f>
        <v>877.03828999999996</v>
      </c>
      <c r="O114" s="170">
        <f>Capex!M112</f>
        <v>0</v>
      </c>
      <c r="P114" s="170">
        <f>Capex!N112</f>
        <v>0</v>
      </c>
    </row>
    <row r="115" spans="2:16" hidden="1" outlineLevel="1" x14ac:dyDescent="0.25">
      <c r="C115" s="4" t="s">
        <v>448</v>
      </c>
      <c r="D115" s="6" t="s">
        <v>322</v>
      </c>
      <c r="E115" s="6" t="s">
        <v>56</v>
      </c>
      <c r="F115" s="67">
        <f t="shared" si="10"/>
        <v>52.057749999999992</v>
      </c>
      <c r="H115" s="170">
        <f>Capex!F113</f>
        <v>0</v>
      </c>
      <c r="I115" s="170">
        <f>Capex!G113</f>
        <v>0</v>
      </c>
      <c r="J115" s="170">
        <f>Capex!H113</f>
        <v>0</v>
      </c>
      <c r="K115" s="170">
        <f>Capex!I113</f>
        <v>0</v>
      </c>
      <c r="L115" s="170">
        <f>Capex!J113</f>
        <v>0</v>
      </c>
      <c r="M115" s="170">
        <f>Capex!K113</f>
        <v>0</v>
      </c>
      <c r="N115" s="170">
        <f>Capex!L113</f>
        <v>52.057749999999992</v>
      </c>
      <c r="O115" s="170">
        <f>Capex!M113</f>
        <v>0</v>
      </c>
      <c r="P115" s="170">
        <f>Capex!N113</f>
        <v>0</v>
      </c>
    </row>
    <row r="116" spans="2:16" hidden="1" outlineLevel="1" x14ac:dyDescent="0.25">
      <c r="C116" s="4" t="s">
        <v>449</v>
      </c>
      <c r="D116" s="6" t="s">
        <v>322</v>
      </c>
      <c r="E116" s="6" t="s">
        <v>56</v>
      </c>
      <c r="F116" s="67">
        <f t="shared" si="10"/>
        <v>419.04575</v>
      </c>
      <c r="H116" s="170">
        <f>Capex!F114</f>
        <v>0</v>
      </c>
      <c r="I116" s="170">
        <f>Capex!G114</f>
        <v>0</v>
      </c>
      <c r="J116" s="170">
        <f>Capex!H114</f>
        <v>0</v>
      </c>
      <c r="K116" s="170">
        <f>Capex!I114</f>
        <v>0</v>
      </c>
      <c r="L116" s="170">
        <f>Capex!J114</f>
        <v>0</v>
      </c>
      <c r="M116" s="170">
        <f>Capex!K114</f>
        <v>0</v>
      </c>
      <c r="N116" s="170">
        <f>Capex!L114</f>
        <v>419.04575</v>
      </c>
      <c r="O116" s="170">
        <f>Capex!M114</f>
        <v>0</v>
      </c>
      <c r="P116" s="170">
        <f>Capex!N114</f>
        <v>0</v>
      </c>
    </row>
    <row r="117" spans="2:16" hidden="1" outlineLevel="1" x14ac:dyDescent="0.25">
      <c r="C117" s="4" t="s">
        <v>450</v>
      </c>
      <c r="D117" s="6" t="s">
        <v>322</v>
      </c>
      <c r="E117" s="6" t="s">
        <v>56</v>
      </c>
      <c r="F117" s="67">
        <f t="shared" si="10"/>
        <v>292.4126</v>
      </c>
      <c r="H117" s="170">
        <f>Capex!F115</f>
        <v>0</v>
      </c>
      <c r="I117" s="170">
        <f>Capex!G115</f>
        <v>0</v>
      </c>
      <c r="J117" s="170">
        <f>Capex!H115</f>
        <v>0</v>
      </c>
      <c r="K117" s="170">
        <f>Capex!I115</f>
        <v>0</v>
      </c>
      <c r="L117" s="170">
        <f>Capex!J115</f>
        <v>0</v>
      </c>
      <c r="M117" s="170">
        <f>Capex!K115</f>
        <v>0</v>
      </c>
      <c r="N117" s="170">
        <f>Capex!L115</f>
        <v>292.4126</v>
      </c>
      <c r="O117" s="170">
        <f>Capex!M115</f>
        <v>0</v>
      </c>
      <c r="P117" s="170">
        <f>Capex!N115</f>
        <v>0</v>
      </c>
    </row>
    <row r="118" spans="2:16" hidden="1" outlineLevel="1" x14ac:dyDescent="0.25">
      <c r="C118" s="4" t="s">
        <v>370</v>
      </c>
      <c r="D118" s="6" t="s">
        <v>322</v>
      </c>
      <c r="E118" s="6" t="s">
        <v>56</v>
      </c>
      <c r="F118" s="67">
        <f t="shared" si="10"/>
        <v>758.44471999999996</v>
      </c>
      <c r="H118" s="170">
        <f>Capex!F116</f>
        <v>0</v>
      </c>
      <c r="I118" s="170">
        <f>Capex!G116</f>
        <v>0</v>
      </c>
      <c r="J118" s="170">
        <f>Capex!H116</f>
        <v>0</v>
      </c>
      <c r="K118" s="170">
        <f>Capex!I116</f>
        <v>0</v>
      </c>
      <c r="L118" s="170">
        <f>Capex!J116</f>
        <v>0</v>
      </c>
      <c r="M118" s="170">
        <f>Capex!K116</f>
        <v>0</v>
      </c>
      <c r="N118" s="170">
        <f>Capex!L116</f>
        <v>758.44471999999996</v>
      </c>
      <c r="O118" s="170">
        <f>Capex!M116</f>
        <v>0</v>
      </c>
      <c r="P118" s="170">
        <f>Capex!N116</f>
        <v>0</v>
      </c>
    </row>
    <row r="119" spans="2:16" hidden="1" outlineLevel="1" x14ac:dyDescent="0.25">
      <c r="C119" s="223" t="s">
        <v>464</v>
      </c>
      <c r="D119" s="254" t="s">
        <v>322</v>
      </c>
      <c r="E119" s="254" t="s">
        <v>56</v>
      </c>
      <c r="F119" s="255">
        <f t="shared" ref="F119:F120" si="11">+SUM(H119:P119)</f>
        <v>191.27044000000001</v>
      </c>
      <c r="G119" s="223"/>
      <c r="H119" s="268">
        <f>Capex!F117</f>
        <v>0</v>
      </c>
      <c r="I119" s="268">
        <f>Capex!G117</f>
        <v>0</v>
      </c>
      <c r="J119" s="268">
        <f>Capex!H117</f>
        <v>0</v>
      </c>
      <c r="K119" s="268">
        <f>Capex!I117</f>
        <v>0</v>
      </c>
      <c r="L119" s="268">
        <f>Capex!J117</f>
        <v>0</v>
      </c>
      <c r="M119" s="268">
        <f>Capex!K117</f>
        <v>191.27044000000001</v>
      </c>
      <c r="N119" s="268">
        <f>Capex!L117</f>
        <v>0</v>
      </c>
      <c r="O119" s="268">
        <f>Capex!M117</f>
        <v>0</v>
      </c>
      <c r="P119" s="268">
        <f>Capex!N117</f>
        <v>0</v>
      </c>
    </row>
    <row r="120" spans="2:16" hidden="1" outlineLevel="1" x14ac:dyDescent="0.25">
      <c r="C120" s="223" t="s">
        <v>465</v>
      </c>
      <c r="D120" s="254" t="s">
        <v>322</v>
      </c>
      <c r="E120" s="254" t="s">
        <v>56</v>
      </c>
      <c r="F120" s="255">
        <f t="shared" si="11"/>
        <v>202.38293999999948</v>
      </c>
      <c r="G120" s="223"/>
      <c r="H120" s="268">
        <f>Capex!F118</f>
        <v>0</v>
      </c>
      <c r="I120" s="268">
        <f>Capex!G118</f>
        <v>0</v>
      </c>
      <c r="J120" s="268">
        <f>Capex!H118</f>
        <v>0</v>
      </c>
      <c r="K120" s="268">
        <f>Capex!I118</f>
        <v>0</v>
      </c>
      <c r="L120" s="268">
        <f>Capex!J118</f>
        <v>0</v>
      </c>
      <c r="M120" s="268">
        <f>Capex!K118</f>
        <v>202.38293999999948</v>
      </c>
      <c r="N120" s="268">
        <f>Capex!L118</f>
        <v>0</v>
      </c>
      <c r="O120" s="268">
        <f>Capex!M118</f>
        <v>0</v>
      </c>
      <c r="P120" s="268">
        <f>Capex!N118</f>
        <v>0</v>
      </c>
    </row>
    <row r="121" spans="2:16" ht="13" collapsed="1" x14ac:dyDescent="0.3">
      <c r="B121" s="7"/>
      <c r="C121" s="7"/>
      <c r="D121" s="243"/>
      <c r="E121" s="243"/>
      <c r="F121" s="66"/>
      <c r="H121" s="70"/>
      <c r="I121" s="70"/>
      <c r="J121" s="70"/>
      <c r="K121" s="70"/>
      <c r="L121" s="70"/>
      <c r="M121" s="70"/>
      <c r="N121" s="70"/>
      <c r="O121" s="70"/>
      <c r="P121" s="70"/>
    </row>
    <row r="122" spans="2:16" ht="13" x14ac:dyDescent="0.3">
      <c r="B122" s="7" t="s">
        <v>374</v>
      </c>
      <c r="H122" s="8"/>
      <c r="I122" s="205"/>
      <c r="J122" s="205"/>
      <c r="K122" s="205"/>
      <c r="L122" s="205"/>
      <c r="M122" s="205"/>
      <c r="N122" s="205"/>
      <c r="O122" s="205"/>
      <c r="P122" s="205"/>
    </row>
    <row r="123" spans="2:16" ht="13" hidden="1" outlineLevel="1" x14ac:dyDescent="0.3">
      <c r="B123" s="7"/>
      <c r="C123" s="4" t="s">
        <v>375</v>
      </c>
      <c r="D123" s="6" t="s">
        <v>322</v>
      </c>
      <c r="E123" s="6" t="s">
        <v>56</v>
      </c>
      <c r="F123" s="67">
        <f t="shared" ref="F123:F143" si="12">+SUM(H123:P123)</f>
        <v>22012.502360000002</v>
      </c>
      <c r="H123" s="170">
        <f>Capex!F121</f>
        <v>0</v>
      </c>
      <c r="I123" s="170">
        <f>Capex!G121</f>
        <v>0</v>
      </c>
      <c r="J123" s="170">
        <f>Capex!H121</f>
        <v>10758.008880000001</v>
      </c>
      <c r="K123" s="170">
        <f>Capex!I121</f>
        <v>11254.493480000001</v>
      </c>
      <c r="L123" s="170">
        <f>Capex!J121</f>
        <v>0</v>
      </c>
      <c r="M123" s="170">
        <f>Capex!K121</f>
        <v>0</v>
      </c>
      <c r="N123" s="170">
        <f>Capex!L121</f>
        <v>0</v>
      </c>
      <c r="O123" s="170">
        <f>Capex!M121</f>
        <v>0</v>
      </c>
      <c r="P123" s="170">
        <f>Capex!N121</f>
        <v>0</v>
      </c>
    </row>
    <row r="124" spans="2:16" ht="13" hidden="1" outlineLevel="1" x14ac:dyDescent="0.3">
      <c r="B124" s="7"/>
      <c r="C124" s="4" t="s">
        <v>376</v>
      </c>
      <c r="D124" s="6" t="s">
        <v>322</v>
      </c>
      <c r="E124" s="6" t="s">
        <v>56</v>
      </c>
      <c r="F124" s="67">
        <f t="shared" si="12"/>
        <v>483.27954000000005</v>
      </c>
      <c r="H124" s="170">
        <f>Capex!F122</f>
        <v>0</v>
      </c>
      <c r="I124" s="170">
        <f>Capex!G122</f>
        <v>0</v>
      </c>
      <c r="J124" s="170">
        <f>Capex!H122</f>
        <v>483.27954000000005</v>
      </c>
      <c r="K124" s="170">
        <f>Capex!I122</f>
        <v>0</v>
      </c>
      <c r="L124" s="170">
        <f>Capex!J122</f>
        <v>0</v>
      </c>
      <c r="M124" s="170">
        <f>Capex!K122</f>
        <v>0</v>
      </c>
      <c r="N124" s="170">
        <f>Capex!L122</f>
        <v>0</v>
      </c>
      <c r="O124" s="170">
        <f>Capex!M122</f>
        <v>0</v>
      </c>
      <c r="P124" s="170">
        <f>Capex!N122</f>
        <v>0</v>
      </c>
    </row>
    <row r="125" spans="2:16" ht="13" hidden="1" outlineLevel="1" x14ac:dyDescent="0.3">
      <c r="B125" s="7"/>
      <c r="C125" s="4" t="s">
        <v>377</v>
      </c>
      <c r="D125" s="6" t="s">
        <v>322</v>
      </c>
      <c r="E125" s="6" t="s">
        <v>56</v>
      </c>
      <c r="F125" s="67">
        <f t="shared" si="12"/>
        <v>2871.1388400000001</v>
      </c>
      <c r="H125" s="170">
        <f>Capex!F123</f>
        <v>0</v>
      </c>
      <c r="I125" s="170">
        <f>Capex!G123</f>
        <v>0</v>
      </c>
      <c r="J125" s="170">
        <f>Capex!H123</f>
        <v>2871.1388400000001</v>
      </c>
      <c r="K125" s="170">
        <f>Capex!I123</f>
        <v>0</v>
      </c>
      <c r="L125" s="170">
        <f>Capex!J123</f>
        <v>0</v>
      </c>
      <c r="M125" s="170">
        <f>Capex!K123</f>
        <v>0</v>
      </c>
      <c r="N125" s="170">
        <f>Capex!L123</f>
        <v>0</v>
      </c>
      <c r="O125" s="170">
        <f>Capex!M123</f>
        <v>0</v>
      </c>
      <c r="P125" s="170">
        <f>Capex!N123</f>
        <v>0</v>
      </c>
    </row>
    <row r="126" spans="2:16" ht="13" hidden="1" outlineLevel="1" x14ac:dyDescent="0.3">
      <c r="B126" s="7"/>
      <c r="C126" s="4" t="s">
        <v>378</v>
      </c>
      <c r="D126" s="6" t="s">
        <v>322</v>
      </c>
      <c r="E126" s="6" t="s">
        <v>56</v>
      </c>
      <c r="F126" s="67">
        <f t="shared" si="12"/>
        <v>406.36348000000004</v>
      </c>
      <c r="H126" s="170">
        <f>Capex!F124</f>
        <v>0</v>
      </c>
      <c r="I126" s="170">
        <f>Capex!G124</f>
        <v>0</v>
      </c>
      <c r="J126" s="170">
        <f>Capex!H124</f>
        <v>0</v>
      </c>
      <c r="K126" s="170">
        <f>Capex!I124</f>
        <v>406.36348000000004</v>
      </c>
      <c r="L126" s="170">
        <f>Capex!J124</f>
        <v>0</v>
      </c>
      <c r="M126" s="170">
        <f>Capex!K124</f>
        <v>0</v>
      </c>
      <c r="N126" s="170">
        <f>Capex!L124</f>
        <v>0</v>
      </c>
      <c r="O126" s="170">
        <f>Capex!M124</f>
        <v>0</v>
      </c>
      <c r="P126" s="170">
        <f>Capex!N124</f>
        <v>0</v>
      </c>
    </row>
    <row r="127" spans="2:16" ht="13" hidden="1" outlineLevel="1" x14ac:dyDescent="0.3">
      <c r="B127" s="7"/>
      <c r="C127" s="4" t="s">
        <v>379</v>
      </c>
      <c r="D127" s="6" t="s">
        <v>322</v>
      </c>
      <c r="E127" s="6" t="s">
        <v>56</v>
      </c>
      <c r="F127" s="67">
        <f t="shared" si="12"/>
        <v>38.898300000000006</v>
      </c>
      <c r="H127" s="170">
        <f>Capex!F125</f>
        <v>0</v>
      </c>
      <c r="I127" s="170">
        <f>Capex!G125</f>
        <v>0</v>
      </c>
      <c r="J127" s="170">
        <f>Capex!H125</f>
        <v>0</v>
      </c>
      <c r="K127" s="170">
        <f>Capex!I125</f>
        <v>38.898300000000006</v>
      </c>
      <c r="L127" s="170">
        <f>Capex!J125</f>
        <v>0</v>
      </c>
      <c r="M127" s="170">
        <f>Capex!K125</f>
        <v>0</v>
      </c>
      <c r="N127" s="170">
        <f>Capex!L125</f>
        <v>0</v>
      </c>
      <c r="O127" s="170">
        <f>Capex!M125</f>
        <v>0</v>
      </c>
      <c r="P127" s="170">
        <f>Capex!N125</f>
        <v>0</v>
      </c>
    </row>
    <row r="128" spans="2:16" ht="13" hidden="1" outlineLevel="1" x14ac:dyDescent="0.3">
      <c r="B128" s="7"/>
      <c r="C128" s="4" t="s">
        <v>380</v>
      </c>
      <c r="D128" s="6" t="s">
        <v>322</v>
      </c>
      <c r="E128" s="6" t="s">
        <v>56</v>
      </c>
      <c r="F128" s="67">
        <f t="shared" si="12"/>
        <v>47.796599999999998</v>
      </c>
      <c r="H128" s="170">
        <f>Capex!F126</f>
        <v>0</v>
      </c>
      <c r="I128" s="170">
        <f>Capex!G126</f>
        <v>0</v>
      </c>
      <c r="J128" s="170">
        <f>Capex!H126</f>
        <v>0</v>
      </c>
      <c r="K128" s="170">
        <f>Capex!I126</f>
        <v>47.796599999999998</v>
      </c>
      <c r="L128" s="170">
        <f>Capex!J126</f>
        <v>0</v>
      </c>
      <c r="M128" s="170">
        <f>Capex!K126</f>
        <v>0</v>
      </c>
      <c r="N128" s="170">
        <f>Capex!L126</f>
        <v>0</v>
      </c>
      <c r="O128" s="170">
        <f>Capex!M126</f>
        <v>0</v>
      </c>
      <c r="P128" s="170">
        <f>Capex!N126</f>
        <v>0</v>
      </c>
    </row>
    <row r="129" spans="2:16" ht="13" hidden="1" outlineLevel="1" x14ac:dyDescent="0.3">
      <c r="B129" s="7"/>
      <c r="C129" s="4" t="s">
        <v>381</v>
      </c>
      <c r="D129" s="6" t="s">
        <v>322</v>
      </c>
      <c r="E129" s="6" t="s">
        <v>56</v>
      </c>
      <c r="F129" s="67">
        <f t="shared" si="12"/>
        <v>137.19009</v>
      </c>
      <c r="H129" s="170">
        <f>Capex!F127</f>
        <v>0</v>
      </c>
      <c r="I129" s="170">
        <f>Capex!G127</f>
        <v>0</v>
      </c>
      <c r="J129" s="170">
        <f>Capex!H127</f>
        <v>0</v>
      </c>
      <c r="K129" s="170">
        <f>Capex!I127</f>
        <v>137.19009</v>
      </c>
      <c r="L129" s="170">
        <f>Capex!J127</f>
        <v>0</v>
      </c>
      <c r="M129" s="170">
        <f>Capex!K127</f>
        <v>0</v>
      </c>
      <c r="N129" s="170">
        <f>Capex!L127</f>
        <v>0</v>
      </c>
      <c r="O129" s="170">
        <f>Capex!M127</f>
        <v>0</v>
      </c>
      <c r="P129" s="170">
        <f>Capex!N127</f>
        <v>0</v>
      </c>
    </row>
    <row r="130" spans="2:16" ht="13" hidden="1" outlineLevel="1" x14ac:dyDescent="0.3">
      <c r="B130" s="7"/>
      <c r="C130" s="4" t="s">
        <v>382</v>
      </c>
      <c r="D130" s="6" t="s">
        <v>322</v>
      </c>
      <c r="E130" s="6" t="s">
        <v>56</v>
      </c>
      <c r="F130" s="67">
        <f t="shared" si="12"/>
        <v>86.138989999999978</v>
      </c>
      <c r="H130" s="170">
        <f>Capex!F128</f>
        <v>0</v>
      </c>
      <c r="I130" s="170">
        <f>Capex!G128</f>
        <v>0</v>
      </c>
      <c r="J130" s="170">
        <f>Capex!H128</f>
        <v>0</v>
      </c>
      <c r="K130" s="170">
        <f>Capex!I128</f>
        <v>86.138989999999978</v>
      </c>
      <c r="L130" s="170">
        <f>Capex!J128</f>
        <v>0</v>
      </c>
      <c r="M130" s="170">
        <f>Capex!K128</f>
        <v>0</v>
      </c>
      <c r="N130" s="170">
        <f>Capex!L128</f>
        <v>0</v>
      </c>
      <c r="O130" s="170">
        <f>Capex!M128</f>
        <v>0</v>
      </c>
      <c r="P130" s="170">
        <f>Capex!N128</f>
        <v>0</v>
      </c>
    </row>
    <row r="131" spans="2:16" ht="13" hidden="1" outlineLevel="1" x14ac:dyDescent="0.3">
      <c r="B131" s="7"/>
      <c r="C131" s="4" t="s">
        <v>383</v>
      </c>
      <c r="D131" s="6" t="s">
        <v>322</v>
      </c>
      <c r="E131" s="6" t="s">
        <v>56</v>
      </c>
      <c r="F131" s="67">
        <f t="shared" si="12"/>
        <v>19.385590000000001</v>
      </c>
      <c r="H131" s="170">
        <f>Capex!F129</f>
        <v>0</v>
      </c>
      <c r="I131" s="170">
        <f>Capex!G129</f>
        <v>0</v>
      </c>
      <c r="J131" s="170">
        <f>Capex!H129</f>
        <v>0</v>
      </c>
      <c r="K131" s="170">
        <f>Capex!I129</f>
        <v>19.385590000000001</v>
      </c>
      <c r="L131" s="170">
        <f>Capex!J129</f>
        <v>0</v>
      </c>
      <c r="M131" s="170">
        <f>Capex!K129</f>
        <v>0</v>
      </c>
      <c r="N131" s="170">
        <f>Capex!L129</f>
        <v>0</v>
      </c>
      <c r="O131" s="170">
        <f>Capex!M129</f>
        <v>0</v>
      </c>
      <c r="P131" s="170">
        <f>Capex!N129</f>
        <v>0</v>
      </c>
    </row>
    <row r="132" spans="2:16" ht="13" hidden="1" outlineLevel="1" x14ac:dyDescent="0.3">
      <c r="B132" s="7"/>
      <c r="C132" s="4" t="s">
        <v>384</v>
      </c>
      <c r="D132" s="6" t="s">
        <v>322</v>
      </c>
      <c r="E132" s="6" t="s">
        <v>56</v>
      </c>
      <c r="F132" s="67">
        <f t="shared" si="12"/>
        <v>191.42875999999998</v>
      </c>
      <c r="H132" s="170">
        <f>Capex!F130</f>
        <v>0</v>
      </c>
      <c r="I132" s="170">
        <f>Capex!G130</f>
        <v>0</v>
      </c>
      <c r="J132" s="170">
        <f>Capex!H130</f>
        <v>0</v>
      </c>
      <c r="K132" s="170">
        <f>Capex!I130</f>
        <v>191.42875999999998</v>
      </c>
      <c r="L132" s="170">
        <f>Capex!J130</f>
        <v>0</v>
      </c>
      <c r="M132" s="170">
        <f>Capex!K130</f>
        <v>0</v>
      </c>
      <c r="N132" s="170">
        <f>Capex!L130</f>
        <v>0</v>
      </c>
      <c r="O132" s="170">
        <f>Capex!M130</f>
        <v>0</v>
      </c>
      <c r="P132" s="170">
        <f>Capex!N130</f>
        <v>0</v>
      </c>
    </row>
    <row r="133" spans="2:16" ht="13" hidden="1" outlineLevel="1" x14ac:dyDescent="0.3">
      <c r="B133" s="7"/>
      <c r="C133" s="4" t="s">
        <v>348</v>
      </c>
      <c r="D133" s="6" t="s">
        <v>322</v>
      </c>
      <c r="E133" s="6" t="s">
        <v>56</v>
      </c>
      <c r="F133" s="67">
        <f t="shared" si="12"/>
        <v>1929.4643000000001</v>
      </c>
      <c r="H133" s="170">
        <f>Capex!F131</f>
        <v>0</v>
      </c>
      <c r="I133" s="170">
        <f>Capex!G131</f>
        <v>0</v>
      </c>
      <c r="J133" s="170">
        <f>Capex!H131</f>
        <v>0</v>
      </c>
      <c r="K133" s="170">
        <f>Capex!I131</f>
        <v>1460.6024600000001</v>
      </c>
      <c r="L133" s="170">
        <f>Capex!J131</f>
        <v>468.86183999999997</v>
      </c>
      <c r="M133" s="170">
        <f>Capex!K131</f>
        <v>0</v>
      </c>
      <c r="N133" s="170">
        <f>Capex!L131</f>
        <v>0</v>
      </c>
      <c r="O133" s="170">
        <f>Capex!M131</f>
        <v>0</v>
      </c>
      <c r="P133" s="170">
        <f>Capex!N131</f>
        <v>0</v>
      </c>
    </row>
    <row r="134" spans="2:16" ht="13" hidden="1" outlineLevel="1" x14ac:dyDescent="0.3">
      <c r="B134" s="7"/>
      <c r="C134" s="4" t="s">
        <v>385</v>
      </c>
      <c r="D134" s="6" t="s">
        <v>322</v>
      </c>
      <c r="E134" s="6" t="s">
        <v>56</v>
      </c>
      <c r="F134" s="67">
        <f t="shared" si="12"/>
        <v>669.20521000000008</v>
      </c>
      <c r="H134" s="170">
        <f>Capex!F132</f>
        <v>0</v>
      </c>
      <c r="I134" s="170">
        <f>Capex!G132</f>
        <v>0</v>
      </c>
      <c r="J134" s="170">
        <f>Capex!H132</f>
        <v>0</v>
      </c>
      <c r="K134" s="170">
        <f>Capex!I132</f>
        <v>582.60040000000004</v>
      </c>
      <c r="L134" s="170">
        <f>Capex!J132</f>
        <v>86.604810000000001</v>
      </c>
      <c r="M134" s="170">
        <f>Capex!K132</f>
        <v>0</v>
      </c>
      <c r="N134" s="170">
        <f>Capex!L132</f>
        <v>0</v>
      </c>
      <c r="O134" s="170">
        <f>Capex!M132</f>
        <v>0</v>
      </c>
      <c r="P134" s="170">
        <f>Capex!N132</f>
        <v>0</v>
      </c>
    </row>
    <row r="135" spans="2:16" ht="13" hidden="1" outlineLevel="1" x14ac:dyDescent="0.3">
      <c r="B135" s="7"/>
      <c r="C135" s="4" t="s">
        <v>386</v>
      </c>
      <c r="D135" s="6" t="s">
        <v>322</v>
      </c>
      <c r="E135" s="6" t="s">
        <v>56</v>
      </c>
      <c r="F135" s="67">
        <f t="shared" si="12"/>
        <v>36094.106219999987</v>
      </c>
      <c r="H135" s="170">
        <f>Capex!F133</f>
        <v>0</v>
      </c>
      <c r="I135" s="170">
        <f>Capex!G133</f>
        <v>0</v>
      </c>
      <c r="J135" s="170">
        <f>Capex!H133</f>
        <v>0</v>
      </c>
      <c r="K135" s="170">
        <f>Capex!I133</f>
        <v>0</v>
      </c>
      <c r="L135" s="170">
        <f>Capex!J133</f>
        <v>36663.21149999999</v>
      </c>
      <c r="M135" s="170">
        <f>Capex!K133</f>
        <v>-569.10527999999999</v>
      </c>
      <c r="N135" s="170">
        <f>Capex!L133</f>
        <v>0</v>
      </c>
      <c r="O135" s="170">
        <f>Capex!M133</f>
        <v>0</v>
      </c>
      <c r="P135" s="170">
        <f>Capex!N133</f>
        <v>0</v>
      </c>
    </row>
    <row r="136" spans="2:16" ht="13" hidden="1" outlineLevel="1" x14ac:dyDescent="0.3">
      <c r="B136" s="7"/>
      <c r="C136" s="4" t="s">
        <v>387</v>
      </c>
      <c r="D136" s="6" t="s">
        <v>322</v>
      </c>
      <c r="E136" s="6" t="s">
        <v>56</v>
      </c>
      <c r="F136" s="67">
        <f t="shared" si="12"/>
        <v>861.91354999999999</v>
      </c>
      <c r="H136" s="170">
        <f>Capex!F134</f>
        <v>0</v>
      </c>
      <c r="I136" s="170">
        <f>Capex!G134</f>
        <v>0</v>
      </c>
      <c r="J136" s="170">
        <f>Capex!H134</f>
        <v>0</v>
      </c>
      <c r="K136" s="170">
        <f>Capex!I134</f>
        <v>0</v>
      </c>
      <c r="L136" s="170">
        <f>Capex!J134</f>
        <v>875.50319999999999</v>
      </c>
      <c r="M136" s="170">
        <f>Capex!K134</f>
        <v>-13.589650000000001</v>
      </c>
      <c r="N136" s="170">
        <f>Capex!L134</f>
        <v>0</v>
      </c>
      <c r="O136" s="170">
        <f>Capex!M134</f>
        <v>0</v>
      </c>
      <c r="P136" s="170">
        <f>Capex!N134</f>
        <v>0</v>
      </c>
    </row>
    <row r="137" spans="2:16" ht="13" hidden="1" outlineLevel="1" x14ac:dyDescent="0.3">
      <c r="B137" s="7"/>
      <c r="C137" s="4" t="s">
        <v>388</v>
      </c>
      <c r="D137" s="6" t="s">
        <v>322</v>
      </c>
      <c r="E137" s="6" t="s">
        <v>56</v>
      </c>
      <c r="F137" s="67">
        <f t="shared" si="12"/>
        <v>19397.323359999995</v>
      </c>
      <c r="H137" s="170">
        <f>Capex!F135</f>
        <v>0</v>
      </c>
      <c r="I137" s="170">
        <f>Capex!G135</f>
        <v>0</v>
      </c>
      <c r="J137" s="170">
        <f>Capex!H135</f>
        <v>0</v>
      </c>
      <c r="K137" s="170">
        <f>Capex!I135</f>
        <v>0</v>
      </c>
      <c r="L137" s="170">
        <f>Capex!J135</f>
        <v>19706.855339999995</v>
      </c>
      <c r="M137" s="170">
        <f>Capex!K135</f>
        <v>-309.53197999999998</v>
      </c>
      <c r="N137" s="170">
        <f>Capex!L135</f>
        <v>0</v>
      </c>
      <c r="O137" s="170">
        <f>Capex!M135</f>
        <v>0</v>
      </c>
      <c r="P137" s="170">
        <f>Capex!N135</f>
        <v>0</v>
      </c>
    </row>
    <row r="138" spans="2:16" ht="13" hidden="1" outlineLevel="1" x14ac:dyDescent="0.3">
      <c r="B138" s="7"/>
      <c r="C138" s="4" t="s">
        <v>389</v>
      </c>
      <c r="D138" s="6" t="s">
        <v>322</v>
      </c>
      <c r="E138" s="6" t="s">
        <v>56</v>
      </c>
      <c r="F138" s="67">
        <f t="shared" si="12"/>
        <v>994.5959399999997</v>
      </c>
      <c r="H138" s="170">
        <f>Capex!F136</f>
        <v>0</v>
      </c>
      <c r="I138" s="170">
        <f>Capex!G136</f>
        <v>0</v>
      </c>
      <c r="J138" s="170">
        <f>Capex!H136</f>
        <v>0</v>
      </c>
      <c r="K138" s="170">
        <f>Capex!I136</f>
        <v>0</v>
      </c>
      <c r="L138" s="170">
        <f>Capex!J136</f>
        <v>1010.2777999999997</v>
      </c>
      <c r="M138" s="170">
        <f>Capex!K136</f>
        <v>-15.68186</v>
      </c>
      <c r="N138" s="170">
        <f>Capex!L136</f>
        <v>0</v>
      </c>
      <c r="O138" s="170">
        <f>Capex!M136</f>
        <v>0</v>
      </c>
      <c r="P138" s="170">
        <f>Capex!N136</f>
        <v>0</v>
      </c>
    </row>
    <row r="139" spans="2:16" ht="13" hidden="1" outlineLevel="1" x14ac:dyDescent="0.3">
      <c r="B139" s="7"/>
      <c r="C139" s="4" t="s">
        <v>349</v>
      </c>
      <c r="D139" s="6" t="s">
        <v>322</v>
      </c>
      <c r="E139" s="6" t="s">
        <v>56</v>
      </c>
      <c r="F139" s="67">
        <f t="shared" si="12"/>
        <v>1167.0572</v>
      </c>
      <c r="H139" s="170">
        <f>Capex!F137</f>
        <v>0</v>
      </c>
      <c r="I139" s="170">
        <f>Capex!G137</f>
        <v>0</v>
      </c>
      <c r="J139" s="170">
        <f>Capex!H137</f>
        <v>0</v>
      </c>
      <c r="K139" s="170">
        <f>Capex!I137</f>
        <v>1167.0572</v>
      </c>
      <c r="L139" s="170">
        <f>Capex!J137</f>
        <v>0</v>
      </c>
      <c r="M139" s="170">
        <f>Capex!K137</f>
        <v>0</v>
      </c>
      <c r="N139" s="170">
        <f>Capex!L137</f>
        <v>0</v>
      </c>
      <c r="O139" s="170">
        <f>Capex!M137</f>
        <v>0</v>
      </c>
      <c r="P139" s="170">
        <f>Capex!N137</f>
        <v>0</v>
      </c>
    </row>
    <row r="140" spans="2:16" ht="13" hidden="1" outlineLevel="1" x14ac:dyDescent="0.3">
      <c r="B140" s="7"/>
      <c r="C140" s="4" t="s">
        <v>390</v>
      </c>
      <c r="D140" s="6" t="s">
        <v>322</v>
      </c>
      <c r="E140" s="6" t="s">
        <v>56</v>
      </c>
      <c r="F140" s="67">
        <f t="shared" si="12"/>
        <v>5584.0961299999999</v>
      </c>
      <c r="H140" s="170">
        <f>Capex!F138</f>
        <v>0</v>
      </c>
      <c r="I140" s="170">
        <f>Capex!G138</f>
        <v>0</v>
      </c>
      <c r="J140" s="170">
        <f>Capex!H138</f>
        <v>0</v>
      </c>
      <c r="K140" s="170">
        <f>Capex!I138</f>
        <v>0</v>
      </c>
      <c r="L140" s="170">
        <f>Capex!J138</f>
        <v>5602.6472699999995</v>
      </c>
      <c r="M140" s="170">
        <f>Capex!K138</f>
        <v>-18.551139999999666</v>
      </c>
      <c r="N140" s="170">
        <f>Capex!L138</f>
        <v>0</v>
      </c>
      <c r="O140" s="170">
        <f>Capex!M138</f>
        <v>0</v>
      </c>
      <c r="P140" s="170">
        <f>Capex!N138</f>
        <v>0</v>
      </c>
    </row>
    <row r="141" spans="2:16" ht="13" hidden="1" outlineLevel="1" x14ac:dyDescent="0.3">
      <c r="B141" s="7"/>
      <c r="C141" s="4" t="s">
        <v>391</v>
      </c>
      <c r="D141" s="6" t="s">
        <v>322</v>
      </c>
      <c r="E141" s="6" t="s">
        <v>56</v>
      </c>
      <c r="F141" s="67">
        <f t="shared" si="12"/>
        <v>217.40445000000003</v>
      </c>
      <c r="H141" s="170">
        <f>Capex!F139</f>
        <v>0</v>
      </c>
      <c r="I141" s="170">
        <f>Capex!G139</f>
        <v>0</v>
      </c>
      <c r="J141" s="170">
        <f>Capex!H139</f>
        <v>0</v>
      </c>
      <c r="K141" s="170">
        <f>Capex!I139</f>
        <v>0</v>
      </c>
      <c r="L141" s="170">
        <f>Capex!J139</f>
        <v>0</v>
      </c>
      <c r="M141" s="170">
        <f>Capex!K139</f>
        <v>217.40445000000003</v>
      </c>
      <c r="N141" s="170">
        <f>Capex!L139</f>
        <v>0</v>
      </c>
      <c r="O141" s="170">
        <f>Capex!M139</f>
        <v>0</v>
      </c>
      <c r="P141" s="170">
        <f>Capex!N139</f>
        <v>0</v>
      </c>
    </row>
    <row r="142" spans="2:16" ht="13" hidden="1" outlineLevel="1" x14ac:dyDescent="0.3">
      <c r="B142" s="7"/>
      <c r="C142" s="4" t="s">
        <v>392</v>
      </c>
      <c r="D142" s="6" t="s">
        <v>322</v>
      </c>
      <c r="E142" s="6" t="s">
        <v>56</v>
      </c>
      <c r="F142" s="67">
        <f t="shared" si="12"/>
        <v>8962.6062700000002</v>
      </c>
      <c r="H142" s="170">
        <f>Capex!F140</f>
        <v>0</v>
      </c>
      <c r="I142" s="170">
        <f>Capex!G140</f>
        <v>0</v>
      </c>
      <c r="J142" s="170">
        <f>Capex!H140</f>
        <v>0</v>
      </c>
      <c r="K142" s="170">
        <f>Capex!I140</f>
        <v>0</v>
      </c>
      <c r="L142" s="170">
        <f>Capex!J140</f>
        <v>0</v>
      </c>
      <c r="M142" s="170">
        <f>Capex!K140</f>
        <v>8962.6062700000002</v>
      </c>
      <c r="N142" s="170">
        <f>Capex!L140</f>
        <v>0</v>
      </c>
      <c r="O142" s="170">
        <f>Capex!M140</f>
        <v>0</v>
      </c>
      <c r="P142" s="170">
        <f>Capex!N140</f>
        <v>0</v>
      </c>
    </row>
    <row r="143" spans="2:16" ht="13" hidden="1" outlineLevel="1" x14ac:dyDescent="0.3">
      <c r="B143" s="7"/>
      <c r="C143" s="4" t="s">
        <v>393</v>
      </c>
      <c r="D143" s="6" t="s">
        <v>322</v>
      </c>
      <c r="E143" s="6" t="s">
        <v>56</v>
      </c>
      <c r="F143" s="67">
        <f t="shared" si="12"/>
        <v>43.964599999999997</v>
      </c>
      <c r="H143" s="170">
        <f>Capex!F141</f>
        <v>0</v>
      </c>
      <c r="I143" s="170">
        <f>Capex!G141</f>
        <v>0</v>
      </c>
      <c r="J143" s="170">
        <f>Capex!H141</f>
        <v>0</v>
      </c>
      <c r="K143" s="170">
        <f>Capex!I141</f>
        <v>0</v>
      </c>
      <c r="L143" s="170">
        <f>Capex!J141</f>
        <v>43.964599999999997</v>
      </c>
      <c r="M143" s="170">
        <f>Capex!K141</f>
        <v>0</v>
      </c>
      <c r="N143" s="170">
        <f>Capex!L141</f>
        <v>0</v>
      </c>
      <c r="O143" s="170">
        <f>Capex!M141</f>
        <v>0</v>
      </c>
      <c r="P143" s="170">
        <f>Capex!N141</f>
        <v>0</v>
      </c>
    </row>
    <row r="144" spans="2:16" ht="13" hidden="1" outlineLevel="1" x14ac:dyDescent="0.3">
      <c r="B144" s="7"/>
      <c r="C144" s="4" t="s">
        <v>394</v>
      </c>
      <c r="D144" s="6" t="s">
        <v>322</v>
      </c>
      <c r="E144" s="6" t="s">
        <v>56</v>
      </c>
      <c r="F144" s="67">
        <f t="shared" ref="F144:F145" si="13">+SUM(H144:P144)</f>
        <v>106.03545000000001</v>
      </c>
      <c r="H144" s="170">
        <f>Capex!F142</f>
        <v>0</v>
      </c>
      <c r="I144" s="170">
        <f>Capex!G142</f>
        <v>0</v>
      </c>
      <c r="J144" s="170">
        <f>Capex!H142</f>
        <v>0</v>
      </c>
      <c r="K144" s="170">
        <f>Capex!I142</f>
        <v>0</v>
      </c>
      <c r="L144" s="170">
        <f>Capex!J142</f>
        <v>106.03545000000001</v>
      </c>
      <c r="M144" s="170">
        <f>Capex!K142</f>
        <v>0</v>
      </c>
      <c r="N144" s="170">
        <f>Capex!L142</f>
        <v>0</v>
      </c>
      <c r="O144" s="170">
        <f>Capex!M142</f>
        <v>0</v>
      </c>
      <c r="P144" s="170">
        <f>Capex!N142</f>
        <v>0</v>
      </c>
    </row>
    <row r="145" spans="2:16" ht="13" hidden="1" outlineLevel="1" x14ac:dyDescent="0.3">
      <c r="B145" s="7"/>
      <c r="C145" s="4" t="s">
        <v>395</v>
      </c>
      <c r="D145" s="6" t="s">
        <v>322</v>
      </c>
      <c r="E145" s="6" t="s">
        <v>56</v>
      </c>
      <c r="F145" s="67">
        <f t="shared" si="13"/>
        <v>3795.6305800000005</v>
      </c>
      <c r="H145" s="170">
        <f>Capex!F143</f>
        <v>0</v>
      </c>
      <c r="I145" s="170">
        <f>Capex!G143</f>
        <v>0</v>
      </c>
      <c r="J145" s="170">
        <f>Capex!H143</f>
        <v>0</v>
      </c>
      <c r="K145" s="170">
        <f>Capex!I143</f>
        <v>0</v>
      </c>
      <c r="L145" s="170">
        <f>Capex!J143</f>
        <v>0</v>
      </c>
      <c r="M145" s="170">
        <f>Capex!K143</f>
        <v>3795.6305800000005</v>
      </c>
      <c r="N145" s="170">
        <f>Capex!L143</f>
        <v>0</v>
      </c>
      <c r="O145" s="170">
        <f>Capex!M143</f>
        <v>0</v>
      </c>
      <c r="P145" s="170">
        <f>Capex!N143</f>
        <v>0</v>
      </c>
    </row>
    <row r="146" spans="2:16" ht="13" hidden="1" outlineLevel="1" x14ac:dyDescent="0.3">
      <c r="B146" s="7"/>
      <c r="C146" s="4" t="s">
        <v>396</v>
      </c>
      <c r="D146" s="6" t="s">
        <v>322</v>
      </c>
      <c r="E146" s="6" t="s">
        <v>56</v>
      </c>
      <c r="F146" s="67">
        <f t="shared" ref="F146" si="14">+SUM(H146:P146)</f>
        <v>840.78197999999998</v>
      </c>
      <c r="H146" s="170">
        <f>Capex!F144</f>
        <v>0</v>
      </c>
      <c r="I146" s="170">
        <f>Capex!G144</f>
        <v>0</v>
      </c>
      <c r="J146" s="170">
        <f>Capex!H144</f>
        <v>0</v>
      </c>
      <c r="K146" s="170">
        <f>Capex!I144</f>
        <v>0</v>
      </c>
      <c r="L146" s="170">
        <f>Capex!J144</f>
        <v>0</v>
      </c>
      <c r="M146" s="170">
        <f>Capex!K144</f>
        <v>0</v>
      </c>
      <c r="N146" s="170">
        <f>Capex!L144</f>
        <v>0</v>
      </c>
      <c r="O146" s="170">
        <f>Capex!M144</f>
        <v>840.78197999999998</v>
      </c>
      <c r="P146" s="170">
        <f>Capex!N144</f>
        <v>0</v>
      </c>
    </row>
    <row r="147" spans="2:16" ht="13" hidden="1" outlineLevel="1" x14ac:dyDescent="0.3">
      <c r="B147" s="7"/>
      <c r="C147" s="4" t="s">
        <v>385</v>
      </c>
      <c r="D147" s="6" t="s">
        <v>322</v>
      </c>
      <c r="E147" s="6" t="s">
        <v>56</v>
      </c>
      <c r="F147" s="67">
        <f t="shared" ref="F147:F175" si="15">+SUM(H147:P147)</f>
        <v>380.93071999999995</v>
      </c>
      <c r="H147" s="170">
        <f>Capex!F145</f>
        <v>0</v>
      </c>
      <c r="I147" s="170">
        <f>Capex!G145</f>
        <v>0</v>
      </c>
      <c r="J147" s="170">
        <f>Capex!H145</f>
        <v>0</v>
      </c>
      <c r="K147" s="170">
        <f>Capex!I145</f>
        <v>0</v>
      </c>
      <c r="L147" s="170">
        <f>Capex!J145</f>
        <v>0</v>
      </c>
      <c r="M147" s="170">
        <f>Capex!K145</f>
        <v>0</v>
      </c>
      <c r="N147" s="170">
        <f>Capex!L145</f>
        <v>380.93071999999995</v>
      </c>
      <c r="O147" s="170">
        <f>Capex!M145</f>
        <v>0</v>
      </c>
      <c r="P147" s="170">
        <f>Capex!N145</f>
        <v>0</v>
      </c>
    </row>
    <row r="148" spans="2:16" ht="13" hidden="1" outlineLevel="1" x14ac:dyDescent="0.3">
      <c r="B148" s="7"/>
      <c r="C148" s="4" t="s">
        <v>349</v>
      </c>
      <c r="D148" s="6" t="s">
        <v>322</v>
      </c>
      <c r="E148" s="6" t="s">
        <v>56</v>
      </c>
      <c r="F148" s="67">
        <f t="shared" si="15"/>
        <v>1583.5328499999996</v>
      </c>
      <c r="H148" s="170">
        <f>Capex!F146</f>
        <v>0</v>
      </c>
      <c r="I148" s="170">
        <f>Capex!G146</f>
        <v>0</v>
      </c>
      <c r="J148" s="170">
        <f>Capex!H146</f>
        <v>0</v>
      </c>
      <c r="K148" s="170">
        <f>Capex!I146</f>
        <v>0</v>
      </c>
      <c r="L148" s="170">
        <f>Capex!J146</f>
        <v>0</v>
      </c>
      <c r="M148" s="170">
        <f>Capex!K146</f>
        <v>0</v>
      </c>
      <c r="N148" s="170">
        <f>Capex!L146</f>
        <v>1583.5328499999996</v>
      </c>
      <c r="O148" s="170">
        <f>Capex!M146</f>
        <v>0</v>
      </c>
      <c r="P148" s="170">
        <f>Capex!N146</f>
        <v>0</v>
      </c>
    </row>
    <row r="149" spans="2:16" ht="13" hidden="1" outlineLevel="1" x14ac:dyDescent="0.3">
      <c r="B149" s="7"/>
      <c r="C149" s="4" t="s">
        <v>397</v>
      </c>
      <c r="D149" s="6" t="s">
        <v>322</v>
      </c>
      <c r="E149" s="6" t="s">
        <v>56</v>
      </c>
      <c r="F149" s="67">
        <f t="shared" si="15"/>
        <v>28.083760000000002</v>
      </c>
      <c r="H149" s="170">
        <f>Capex!F147</f>
        <v>0</v>
      </c>
      <c r="I149" s="170">
        <f>Capex!G147</f>
        <v>0</v>
      </c>
      <c r="J149" s="170">
        <f>Capex!H147</f>
        <v>0</v>
      </c>
      <c r="K149" s="170">
        <f>Capex!I147</f>
        <v>0</v>
      </c>
      <c r="L149" s="170">
        <f>Capex!J147</f>
        <v>0</v>
      </c>
      <c r="M149" s="170">
        <f>Capex!K147</f>
        <v>0</v>
      </c>
      <c r="N149" s="170">
        <f>Capex!L147</f>
        <v>28.083760000000002</v>
      </c>
      <c r="O149" s="170">
        <f>Capex!M147</f>
        <v>0</v>
      </c>
      <c r="P149" s="170">
        <f>Capex!N147</f>
        <v>0</v>
      </c>
    </row>
    <row r="150" spans="2:16" ht="13" hidden="1" outlineLevel="1" x14ac:dyDescent="0.3">
      <c r="B150" s="7"/>
      <c r="C150" s="4" t="s">
        <v>390</v>
      </c>
      <c r="D150" s="6" t="s">
        <v>322</v>
      </c>
      <c r="E150" s="6" t="s">
        <v>56</v>
      </c>
      <c r="F150" s="67">
        <f t="shared" si="15"/>
        <v>3267.3546200000001</v>
      </c>
      <c r="H150" s="170">
        <f>Capex!F148</f>
        <v>0</v>
      </c>
      <c r="I150" s="170">
        <f>Capex!G148</f>
        <v>0</v>
      </c>
      <c r="J150" s="170">
        <f>Capex!H148</f>
        <v>0</v>
      </c>
      <c r="K150" s="170">
        <f>Capex!I148</f>
        <v>0</v>
      </c>
      <c r="L150" s="170">
        <f>Capex!J148</f>
        <v>0</v>
      </c>
      <c r="M150" s="170">
        <f>Capex!K148</f>
        <v>0</v>
      </c>
      <c r="N150" s="170">
        <f>Capex!L148</f>
        <v>3267.3546200000001</v>
      </c>
      <c r="O150" s="170">
        <f>Capex!M148</f>
        <v>0</v>
      </c>
      <c r="P150" s="170">
        <f>Capex!N148</f>
        <v>0</v>
      </c>
    </row>
    <row r="151" spans="2:16" ht="13" hidden="1" outlineLevel="1" x14ac:dyDescent="0.3">
      <c r="B151" s="7"/>
      <c r="C151" s="4" t="s">
        <v>398</v>
      </c>
      <c r="D151" s="6" t="s">
        <v>322</v>
      </c>
      <c r="E151" s="6" t="s">
        <v>56</v>
      </c>
      <c r="F151" s="67">
        <f t="shared" si="15"/>
        <v>177.983</v>
      </c>
      <c r="H151" s="170">
        <f>Capex!F149</f>
        <v>0</v>
      </c>
      <c r="I151" s="170">
        <f>Capex!G149</f>
        <v>0</v>
      </c>
      <c r="J151" s="170">
        <f>Capex!H149</f>
        <v>0</v>
      </c>
      <c r="K151" s="170">
        <f>Capex!I149</f>
        <v>0</v>
      </c>
      <c r="L151" s="170">
        <f>Capex!J149</f>
        <v>0</v>
      </c>
      <c r="M151" s="170">
        <f>Capex!K149</f>
        <v>0</v>
      </c>
      <c r="N151" s="170">
        <f>Capex!L149</f>
        <v>177.983</v>
      </c>
      <c r="O151" s="170">
        <f>Capex!M149</f>
        <v>0</v>
      </c>
      <c r="P151" s="170">
        <f>Capex!N149</f>
        <v>0</v>
      </c>
    </row>
    <row r="152" spans="2:16" ht="13" hidden="1" outlineLevel="1" x14ac:dyDescent="0.3">
      <c r="B152" s="7"/>
      <c r="C152" s="4" t="s">
        <v>399</v>
      </c>
      <c r="D152" s="6" t="s">
        <v>322</v>
      </c>
      <c r="E152" s="6" t="s">
        <v>56</v>
      </c>
      <c r="F152" s="67">
        <f t="shared" si="15"/>
        <v>268.38589000000002</v>
      </c>
      <c r="H152" s="170">
        <f>Capex!F150</f>
        <v>0</v>
      </c>
      <c r="I152" s="170">
        <f>Capex!G150</f>
        <v>0</v>
      </c>
      <c r="J152" s="170">
        <f>Capex!H150</f>
        <v>0</v>
      </c>
      <c r="K152" s="170">
        <f>Capex!I150</f>
        <v>0</v>
      </c>
      <c r="L152" s="170">
        <f>Capex!J150</f>
        <v>0</v>
      </c>
      <c r="M152" s="170">
        <f>Capex!K150</f>
        <v>0</v>
      </c>
      <c r="N152" s="170">
        <f>Capex!L150</f>
        <v>268.38589000000002</v>
      </c>
      <c r="O152" s="170">
        <f>Capex!M150</f>
        <v>0</v>
      </c>
      <c r="P152" s="170">
        <f>Capex!N150</f>
        <v>0</v>
      </c>
    </row>
    <row r="153" spans="2:16" ht="13" hidden="1" outlineLevel="1" x14ac:dyDescent="0.3">
      <c r="B153" s="7"/>
      <c r="C153" s="4" t="s">
        <v>400</v>
      </c>
      <c r="D153" s="6" t="s">
        <v>322</v>
      </c>
      <c r="E153" s="6" t="s">
        <v>56</v>
      </c>
      <c r="F153" s="67">
        <f t="shared" si="15"/>
        <v>21.062819999999999</v>
      </c>
      <c r="H153" s="170">
        <f>Capex!F151</f>
        <v>0</v>
      </c>
      <c r="I153" s="170">
        <f>Capex!G151</f>
        <v>0</v>
      </c>
      <c r="J153" s="170">
        <f>Capex!H151</f>
        <v>0</v>
      </c>
      <c r="K153" s="170">
        <f>Capex!I151</f>
        <v>0</v>
      </c>
      <c r="L153" s="170">
        <f>Capex!J151</f>
        <v>0</v>
      </c>
      <c r="M153" s="170">
        <f>Capex!K151</f>
        <v>0</v>
      </c>
      <c r="N153" s="170">
        <f>Capex!L151</f>
        <v>21.062819999999999</v>
      </c>
      <c r="O153" s="170">
        <f>Capex!M151</f>
        <v>0</v>
      </c>
      <c r="P153" s="170">
        <f>Capex!N151</f>
        <v>0</v>
      </c>
    </row>
    <row r="154" spans="2:16" ht="13" hidden="1" outlineLevel="1" x14ac:dyDescent="0.3">
      <c r="B154" s="7"/>
      <c r="C154" s="4" t="s">
        <v>401</v>
      </c>
      <c r="D154" s="6" t="s">
        <v>322</v>
      </c>
      <c r="E154" s="6" t="s">
        <v>56</v>
      </c>
      <c r="F154" s="67">
        <f t="shared" si="15"/>
        <v>462.47151000000002</v>
      </c>
      <c r="H154" s="170">
        <f>Capex!F152</f>
        <v>0</v>
      </c>
      <c r="I154" s="170">
        <f>Capex!G152</f>
        <v>0</v>
      </c>
      <c r="J154" s="170">
        <f>Capex!H152</f>
        <v>0</v>
      </c>
      <c r="K154" s="170">
        <f>Capex!I152</f>
        <v>0</v>
      </c>
      <c r="L154" s="170">
        <f>Capex!J152</f>
        <v>0</v>
      </c>
      <c r="M154" s="170">
        <f>Capex!K152</f>
        <v>0</v>
      </c>
      <c r="N154" s="170">
        <f>Capex!L152</f>
        <v>462.47151000000002</v>
      </c>
      <c r="O154" s="170">
        <f>Capex!M152</f>
        <v>0</v>
      </c>
      <c r="P154" s="170">
        <f>Capex!N152</f>
        <v>0</v>
      </c>
    </row>
    <row r="155" spans="2:16" ht="13" hidden="1" outlineLevel="1" x14ac:dyDescent="0.3">
      <c r="B155" s="7"/>
      <c r="C155" s="4" t="s">
        <v>402</v>
      </c>
      <c r="D155" s="6" t="s">
        <v>322</v>
      </c>
      <c r="E155" s="6" t="s">
        <v>56</v>
      </c>
      <c r="F155" s="67">
        <f t="shared" si="15"/>
        <v>576.94799999999998</v>
      </c>
      <c r="H155" s="170">
        <f>Capex!F153</f>
        <v>0</v>
      </c>
      <c r="I155" s="170">
        <f>Capex!G153</f>
        <v>0</v>
      </c>
      <c r="J155" s="170">
        <f>Capex!H153</f>
        <v>0</v>
      </c>
      <c r="K155" s="170">
        <f>Capex!I153</f>
        <v>0</v>
      </c>
      <c r="L155" s="170">
        <f>Capex!J153</f>
        <v>0</v>
      </c>
      <c r="M155" s="170">
        <f>Capex!K153</f>
        <v>0</v>
      </c>
      <c r="N155" s="170">
        <f>Capex!L153</f>
        <v>576.94799999999998</v>
      </c>
      <c r="O155" s="170">
        <f>Capex!M153</f>
        <v>0</v>
      </c>
      <c r="P155" s="170">
        <f>Capex!N153</f>
        <v>0</v>
      </c>
    </row>
    <row r="156" spans="2:16" ht="13" hidden="1" outlineLevel="1" x14ac:dyDescent="0.3">
      <c r="B156" s="7"/>
      <c r="C156" s="4" t="s">
        <v>403</v>
      </c>
      <c r="D156" s="6" t="s">
        <v>322</v>
      </c>
      <c r="E156" s="6" t="s">
        <v>56</v>
      </c>
      <c r="F156" s="67">
        <f t="shared" si="15"/>
        <v>354.46233000000001</v>
      </c>
      <c r="H156" s="170">
        <f>Capex!F154</f>
        <v>0</v>
      </c>
      <c r="I156" s="170">
        <f>Capex!G154</f>
        <v>0</v>
      </c>
      <c r="J156" s="170">
        <f>Capex!H154</f>
        <v>0</v>
      </c>
      <c r="K156" s="170">
        <f>Capex!I154</f>
        <v>0</v>
      </c>
      <c r="L156" s="170">
        <f>Capex!J154</f>
        <v>0</v>
      </c>
      <c r="M156" s="170">
        <f>Capex!K154</f>
        <v>0</v>
      </c>
      <c r="N156" s="170">
        <f>Capex!L154</f>
        <v>354.46233000000001</v>
      </c>
      <c r="O156" s="170">
        <f>Capex!M154</f>
        <v>0</v>
      </c>
      <c r="P156" s="170">
        <f>Capex!N154</f>
        <v>0</v>
      </c>
    </row>
    <row r="157" spans="2:16" ht="13" hidden="1" outlineLevel="1" x14ac:dyDescent="0.3">
      <c r="B157" s="7"/>
      <c r="C157" s="4" t="s">
        <v>404</v>
      </c>
      <c r="D157" s="6" t="s">
        <v>322</v>
      </c>
      <c r="E157" s="6" t="s">
        <v>56</v>
      </c>
      <c r="F157" s="67">
        <f t="shared" si="15"/>
        <v>7.0209399999999995</v>
      </c>
      <c r="H157" s="170">
        <f>Capex!F155</f>
        <v>0</v>
      </c>
      <c r="I157" s="170">
        <f>Capex!G155</f>
        <v>0</v>
      </c>
      <c r="J157" s="170">
        <f>Capex!H155</f>
        <v>0</v>
      </c>
      <c r="K157" s="170">
        <f>Capex!I155</f>
        <v>0</v>
      </c>
      <c r="L157" s="170">
        <f>Capex!J155</f>
        <v>0</v>
      </c>
      <c r="M157" s="170">
        <f>Capex!K155</f>
        <v>0</v>
      </c>
      <c r="N157" s="170">
        <f>Capex!L155</f>
        <v>7.0209399999999995</v>
      </c>
      <c r="O157" s="170">
        <f>Capex!M155</f>
        <v>0</v>
      </c>
      <c r="P157" s="170">
        <f>Capex!N155</f>
        <v>0</v>
      </c>
    </row>
    <row r="158" spans="2:16" ht="13" hidden="1" outlineLevel="1" x14ac:dyDescent="0.3">
      <c r="B158" s="7"/>
      <c r="C158" s="4" t="s">
        <v>405</v>
      </c>
      <c r="D158" s="6" t="s">
        <v>322</v>
      </c>
      <c r="E158" s="6" t="s">
        <v>56</v>
      </c>
      <c r="F158" s="67">
        <f t="shared" si="15"/>
        <v>543.31723</v>
      </c>
      <c r="H158" s="170">
        <f>Capex!F156</f>
        <v>0</v>
      </c>
      <c r="I158" s="170">
        <f>Capex!G156</f>
        <v>0</v>
      </c>
      <c r="J158" s="170">
        <f>Capex!H156</f>
        <v>0</v>
      </c>
      <c r="K158" s="170">
        <f>Capex!I156</f>
        <v>0</v>
      </c>
      <c r="L158" s="170">
        <f>Capex!J156</f>
        <v>0</v>
      </c>
      <c r="M158" s="170">
        <f>Capex!K156</f>
        <v>0</v>
      </c>
      <c r="N158" s="170">
        <f>Capex!L156</f>
        <v>0</v>
      </c>
      <c r="O158" s="170">
        <f>Capex!M156</f>
        <v>543.31723</v>
      </c>
      <c r="P158" s="170">
        <f>Capex!N156</f>
        <v>0</v>
      </c>
    </row>
    <row r="159" spans="2:16" hidden="1" outlineLevel="1" x14ac:dyDescent="0.25">
      <c r="C159" s="4" t="s">
        <v>406</v>
      </c>
      <c r="D159" s="6" t="s">
        <v>322</v>
      </c>
      <c r="E159" s="6" t="s">
        <v>56</v>
      </c>
      <c r="F159" s="67">
        <f t="shared" si="15"/>
        <v>40</v>
      </c>
      <c r="H159" s="170">
        <f>Capex!F157</f>
        <v>0</v>
      </c>
      <c r="I159" s="170">
        <f>Capex!G157</f>
        <v>0</v>
      </c>
      <c r="J159" s="170">
        <f>Capex!H157</f>
        <v>0</v>
      </c>
      <c r="K159" s="170">
        <f>Capex!I157</f>
        <v>0</v>
      </c>
      <c r="L159" s="170">
        <f>Capex!J157</f>
        <v>0</v>
      </c>
      <c r="M159" s="170">
        <f>Capex!K157</f>
        <v>0</v>
      </c>
      <c r="N159" s="170">
        <f>Capex!L157</f>
        <v>0</v>
      </c>
      <c r="O159" s="170">
        <f>Capex!M157</f>
        <v>40</v>
      </c>
      <c r="P159" s="170">
        <f>Capex!N157</f>
        <v>0</v>
      </c>
    </row>
    <row r="160" spans="2:16" hidden="1" outlineLevel="1" x14ac:dyDescent="0.25">
      <c r="C160" s="4" t="s">
        <v>407</v>
      </c>
      <c r="D160" s="6" t="s">
        <v>322</v>
      </c>
      <c r="E160" s="6" t="s">
        <v>56</v>
      </c>
      <c r="F160" s="67">
        <f t="shared" si="15"/>
        <v>775.05223000000012</v>
      </c>
      <c r="H160" s="170">
        <f>Capex!F158</f>
        <v>0</v>
      </c>
      <c r="I160" s="170">
        <f>Capex!G158</f>
        <v>0</v>
      </c>
      <c r="J160" s="170">
        <f>Capex!H158</f>
        <v>0</v>
      </c>
      <c r="K160" s="170">
        <f>Capex!I158</f>
        <v>0</v>
      </c>
      <c r="L160" s="170">
        <f>Capex!J158</f>
        <v>0</v>
      </c>
      <c r="M160" s="170">
        <f>Capex!K158</f>
        <v>0</v>
      </c>
      <c r="N160" s="170">
        <f>Capex!L158</f>
        <v>0</v>
      </c>
      <c r="O160" s="170">
        <f>Capex!M158</f>
        <v>0</v>
      </c>
      <c r="P160" s="170">
        <f>Capex!N158</f>
        <v>775.05223000000012</v>
      </c>
    </row>
    <row r="161" spans="2:16" ht="13" hidden="1" outlineLevel="1" x14ac:dyDescent="0.3">
      <c r="B161" s="7"/>
      <c r="C161" s="4" t="s">
        <v>377</v>
      </c>
      <c r="D161" s="6" t="s">
        <v>322</v>
      </c>
      <c r="E161" s="6" t="s">
        <v>56</v>
      </c>
      <c r="F161" s="67">
        <f t="shared" si="15"/>
        <v>826.37185999999997</v>
      </c>
      <c r="H161" s="170">
        <f>Capex!F159</f>
        <v>826.37185999999997</v>
      </c>
      <c r="I161" s="170">
        <f>Capex!G159</f>
        <v>0</v>
      </c>
      <c r="J161" s="170">
        <f>Capex!H159</f>
        <v>0</v>
      </c>
      <c r="K161" s="170">
        <f>Capex!I159</f>
        <v>0</v>
      </c>
      <c r="L161" s="170">
        <f>Capex!J159</f>
        <v>0</v>
      </c>
      <c r="M161" s="170">
        <f>Capex!K159</f>
        <v>0</v>
      </c>
      <c r="N161" s="170">
        <f>Capex!L159</f>
        <v>0</v>
      </c>
      <c r="O161" s="170">
        <f>Capex!M159</f>
        <v>0</v>
      </c>
      <c r="P161" s="170">
        <f>Capex!N159</f>
        <v>0</v>
      </c>
    </row>
    <row r="162" spans="2:16" ht="13" hidden="1" outlineLevel="1" x14ac:dyDescent="0.3">
      <c r="B162" s="7"/>
      <c r="C162" s="4" t="s">
        <v>326</v>
      </c>
      <c r="D162" s="6" t="s">
        <v>322</v>
      </c>
      <c r="E162" s="6" t="s">
        <v>56</v>
      </c>
      <c r="F162" s="67">
        <f t="shared" si="15"/>
        <v>0</v>
      </c>
      <c r="H162" s="170">
        <f>Capex!F160</f>
        <v>5.8000500000000006</v>
      </c>
      <c r="I162" s="170">
        <f>Capex!G160</f>
        <v>0</v>
      </c>
      <c r="J162" s="170">
        <f>Capex!H160</f>
        <v>0</v>
      </c>
      <c r="K162" s="170">
        <f>Capex!I160</f>
        <v>0</v>
      </c>
      <c r="L162" s="170">
        <f>Capex!J160</f>
        <v>0</v>
      </c>
      <c r="M162" s="170">
        <f>Capex!K160</f>
        <v>0</v>
      </c>
      <c r="N162" s="170">
        <f>Capex!L160</f>
        <v>0</v>
      </c>
      <c r="O162" s="170">
        <f>Capex!M160</f>
        <v>0</v>
      </c>
      <c r="P162" s="170">
        <f>Capex!N160</f>
        <v>-5.8000500000000006</v>
      </c>
    </row>
    <row r="163" spans="2:16" ht="13" hidden="1" outlineLevel="1" x14ac:dyDescent="0.3">
      <c r="B163" s="7"/>
      <c r="C163" s="4" t="s">
        <v>451</v>
      </c>
      <c r="D163" s="6" t="s">
        <v>322</v>
      </c>
      <c r="E163" s="6" t="s">
        <v>56</v>
      </c>
      <c r="F163" s="67">
        <f t="shared" si="15"/>
        <v>54.795720000000003</v>
      </c>
      <c r="H163" s="170">
        <f>Capex!F161</f>
        <v>0</v>
      </c>
      <c r="I163" s="170">
        <f>Capex!G161</f>
        <v>54.795720000000003</v>
      </c>
      <c r="J163" s="170">
        <f>Capex!H161</f>
        <v>0</v>
      </c>
      <c r="K163" s="170">
        <f>Capex!I161</f>
        <v>0</v>
      </c>
      <c r="L163" s="170">
        <f>Capex!J161</f>
        <v>0</v>
      </c>
      <c r="M163" s="170">
        <f>Capex!K161</f>
        <v>0</v>
      </c>
      <c r="N163" s="170">
        <f>Capex!L161</f>
        <v>0</v>
      </c>
      <c r="O163" s="170">
        <f>Capex!M161</f>
        <v>0</v>
      </c>
      <c r="P163" s="170">
        <f>Capex!N161</f>
        <v>0</v>
      </c>
    </row>
    <row r="164" spans="2:16" ht="13" hidden="1" outlineLevel="1" x14ac:dyDescent="0.3">
      <c r="B164" s="7"/>
      <c r="C164" s="4" t="s">
        <v>452</v>
      </c>
      <c r="D164" s="6" t="s">
        <v>322</v>
      </c>
      <c r="E164" s="6" t="s">
        <v>56</v>
      </c>
      <c r="F164" s="67">
        <f t="shared" si="15"/>
        <v>0</v>
      </c>
      <c r="H164" s="170">
        <f>Capex!F162</f>
        <v>0</v>
      </c>
      <c r="I164" s="170">
        <f>Capex!G162</f>
        <v>0</v>
      </c>
      <c r="J164" s="170">
        <f>Capex!H162</f>
        <v>167.67669000000001</v>
      </c>
      <c r="K164" s="170">
        <f>Capex!I162</f>
        <v>-167.67669000000001</v>
      </c>
      <c r="L164" s="170">
        <f>Capex!J162</f>
        <v>0</v>
      </c>
      <c r="M164" s="170">
        <f>Capex!K162</f>
        <v>0</v>
      </c>
      <c r="N164" s="170">
        <f>Capex!L162</f>
        <v>0</v>
      </c>
      <c r="O164" s="170">
        <f>Capex!M162</f>
        <v>0</v>
      </c>
      <c r="P164" s="170">
        <f>Capex!N162</f>
        <v>0</v>
      </c>
    </row>
    <row r="165" spans="2:16" ht="13" hidden="1" outlineLevel="1" x14ac:dyDescent="0.3">
      <c r="B165" s="7"/>
      <c r="C165" s="4" t="s">
        <v>402</v>
      </c>
      <c r="D165" s="6" t="s">
        <v>322</v>
      </c>
      <c r="E165" s="6" t="s">
        <v>56</v>
      </c>
      <c r="F165" s="67">
        <f t="shared" si="15"/>
        <v>569.83010000000002</v>
      </c>
      <c r="H165" s="170">
        <f>Capex!F163</f>
        <v>0</v>
      </c>
      <c r="I165" s="170">
        <f>Capex!G163</f>
        <v>0</v>
      </c>
      <c r="J165" s="170">
        <f>Capex!H163</f>
        <v>0</v>
      </c>
      <c r="K165" s="170">
        <f>Capex!I163</f>
        <v>569.83010000000002</v>
      </c>
      <c r="L165" s="170">
        <f>Capex!J163</f>
        <v>0</v>
      </c>
      <c r="M165" s="170">
        <f>Capex!K163</f>
        <v>0</v>
      </c>
      <c r="N165" s="170">
        <f>Capex!L163</f>
        <v>0</v>
      </c>
      <c r="O165" s="170">
        <f>Capex!M163</f>
        <v>0</v>
      </c>
      <c r="P165" s="170">
        <f>Capex!N163</f>
        <v>0</v>
      </c>
    </row>
    <row r="166" spans="2:16" ht="13" hidden="1" outlineLevel="1" x14ac:dyDescent="0.3">
      <c r="B166" s="7"/>
      <c r="C166" s="4" t="s">
        <v>453</v>
      </c>
      <c r="D166" s="6" t="s">
        <v>322</v>
      </c>
      <c r="E166" s="6" t="s">
        <v>56</v>
      </c>
      <c r="F166" s="67">
        <f t="shared" si="15"/>
        <v>220.75547</v>
      </c>
      <c r="H166" s="170">
        <f>Capex!F164</f>
        <v>0</v>
      </c>
      <c r="I166" s="170">
        <f>Capex!G164</f>
        <v>0</v>
      </c>
      <c r="J166" s="170">
        <f>Capex!H164</f>
        <v>0</v>
      </c>
      <c r="K166" s="170">
        <f>Capex!I164</f>
        <v>0</v>
      </c>
      <c r="L166" s="170">
        <f>Capex!J164</f>
        <v>0</v>
      </c>
      <c r="M166" s="170">
        <f>Capex!K164</f>
        <v>220.75547</v>
      </c>
      <c r="N166" s="170">
        <f>Capex!L164</f>
        <v>0</v>
      </c>
      <c r="O166" s="170">
        <f>Capex!M164</f>
        <v>0</v>
      </c>
      <c r="P166" s="170">
        <f>Capex!N164</f>
        <v>0</v>
      </c>
    </row>
    <row r="167" spans="2:16" ht="13" hidden="1" outlineLevel="1" x14ac:dyDescent="0.3">
      <c r="B167" s="7"/>
      <c r="C167" s="4" t="s">
        <v>454</v>
      </c>
      <c r="D167" s="6" t="s">
        <v>322</v>
      </c>
      <c r="E167" s="6" t="s">
        <v>56</v>
      </c>
      <c r="F167" s="67">
        <f t="shared" si="15"/>
        <v>54.965759999999996</v>
      </c>
      <c r="H167" s="170">
        <f>Capex!F165</f>
        <v>0</v>
      </c>
      <c r="I167" s="170">
        <f>Capex!G165</f>
        <v>0</v>
      </c>
      <c r="J167" s="170">
        <f>Capex!H165</f>
        <v>0</v>
      </c>
      <c r="K167" s="170">
        <f>Capex!I165</f>
        <v>0</v>
      </c>
      <c r="L167" s="170">
        <f>Capex!J165</f>
        <v>0</v>
      </c>
      <c r="M167" s="170">
        <f>Capex!K165</f>
        <v>54.965759999999996</v>
      </c>
      <c r="N167" s="170">
        <f>Capex!L165</f>
        <v>0</v>
      </c>
      <c r="O167" s="170">
        <f>Capex!M165</f>
        <v>0</v>
      </c>
      <c r="P167" s="170">
        <f>Capex!N165</f>
        <v>0</v>
      </c>
    </row>
    <row r="168" spans="2:16" ht="13" hidden="1" outlineLevel="1" x14ac:dyDescent="0.3">
      <c r="B168" s="7"/>
      <c r="C168" s="4" t="s">
        <v>455</v>
      </c>
      <c r="D168" s="6" t="s">
        <v>322</v>
      </c>
      <c r="E168" s="6" t="s">
        <v>56</v>
      </c>
      <c r="F168" s="67">
        <f t="shared" si="15"/>
        <v>48.918490000000006</v>
      </c>
      <c r="H168" s="170">
        <f>Capex!F166</f>
        <v>0</v>
      </c>
      <c r="I168" s="170">
        <f>Capex!G166</f>
        <v>0</v>
      </c>
      <c r="J168" s="170">
        <f>Capex!H166</f>
        <v>0</v>
      </c>
      <c r="K168" s="170">
        <f>Capex!I166</f>
        <v>0</v>
      </c>
      <c r="L168" s="170">
        <f>Capex!J166</f>
        <v>0</v>
      </c>
      <c r="M168" s="170">
        <f>Capex!K166</f>
        <v>48.918490000000006</v>
      </c>
      <c r="N168" s="170">
        <f>Capex!L166</f>
        <v>0</v>
      </c>
      <c r="O168" s="170">
        <f>Capex!M166</f>
        <v>0</v>
      </c>
      <c r="P168" s="170">
        <f>Capex!N166</f>
        <v>0</v>
      </c>
    </row>
    <row r="169" spans="2:16" ht="13" hidden="1" outlineLevel="1" x14ac:dyDescent="0.3">
      <c r="B169" s="7"/>
      <c r="C169" s="4" t="s">
        <v>456</v>
      </c>
      <c r="D169" s="6" t="s">
        <v>322</v>
      </c>
      <c r="E169" s="6" t="s">
        <v>56</v>
      </c>
      <c r="F169" s="67">
        <f t="shared" si="15"/>
        <v>20.53397</v>
      </c>
      <c r="H169" s="170">
        <f>Capex!F167</f>
        <v>0</v>
      </c>
      <c r="I169" s="170">
        <f>Capex!G167</f>
        <v>0</v>
      </c>
      <c r="J169" s="170">
        <f>Capex!H167</f>
        <v>0</v>
      </c>
      <c r="K169" s="170">
        <f>Capex!I167</f>
        <v>0</v>
      </c>
      <c r="L169" s="170">
        <f>Capex!J167</f>
        <v>0</v>
      </c>
      <c r="M169" s="170">
        <f>Capex!K167</f>
        <v>0</v>
      </c>
      <c r="N169" s="170">
        <f>Capex!L167</f>
        <v>20.53397</v>
      </c>
      <c r="O169" s="170">
        <f>Capex!M167</f>
        <v>0</v>
      </c>
      <c r="P169" s="170">
        <f>Capex!N167</f>
        <v>0</v>
      </c>
    </row>
    <row r="170" spans="2:16" ht="13" hidden="1" outlineLevel="1" x14ac:dyDescent="0.3">
      <c r="B170" s="7"/>
      <c r="C170" s="4" t="s">
        <v>457</v>
      </c>
      <c r="D170" s="6" t="s">
        <v>322</v>
      </c>
      <c r="E170" s="6" t="s">
        <v>56</v>
      </c>
      <c r="F170" s="67">
        <f t="shared" si="15"/>
        <v>462.70290999999997</v>
      </c>
      <c r="H170" s="170">
        <f>Capex!F168</f>
        <v>0</v>
      </c>
      <c r="I170" s="170">
        <f>Capex!G168</f>
        <v>0</v>
      </c>
      <c r="J170" s="170">
        <f>Capex!H168</f>
        <v>0</v>
      </c>
      <c r="K170" s="170">
        <f>Capex!I168</f>
        <v>0</v>
      </c>
      <c r="L170" s="170">
        <f>Capex!J168</f>
        <v>0</v>
      </c>
      <c r="M170" s="170">
        <f>Capex!K168</f>
        <v>0</v>
      </c>
      <c r="N170" s="170">
        <f>Capex!L168</f>
        <v>462.70290999999997</v>
      </c>
      <c r="O170" s="170">
        <f>Capex!M168</f>
        <v>0</v>
      </c>
      <c r="P170" s="170">
        <f>Capex!N168</f>
        <v>0</v>
      </c>
    </row>
    <row r="171" spans="2:16" ht="13" hidden="1" outlineLevel="1" x14ac:dyDescent="0.3">
      <c r="B171" s="7"/>
      <c r="C171" s="4" t="s">
        <v>458</v>
      </c>
      <c r="D171" s="6" t="s">
        <v>322</v>
      </c>
      <c r="E171" s="6" t="s">
        <v>56</v>
      </c>
      <c r="F171" s="67">
        <f t="shared" si="15"/>
        <v>160.5</v>
      </c>
      <c r="H171" s="170">
        <f>Capex!F169</f>
        <v>0</v>
      </c>
      <c r="I171" s="170">
        <f>Capex!G169</f>
        <v>0</v>
      </c>
      <c r="J171" s="170">
        <f>Capex!H169</f>
        <v>0</v>
      </c>
      <c r="K171" s="170">
        <f>Capex!I169</f>
        <v>0</v>
      </c>
      <c r="L171" s="170">
        <f>Capex!J169</f>
        <v>0</v>
      </c>
      <c r="M171" s="170">
        <f>Capex!K169</f>
        <v>0</v>
      </c>
      <c r="N171" s="170">
        <f>Capex!L169</f>
        <v>0</v>
      </c>
      <c r="O171" s="170">
        <f>Capex!M169</f>
        <v>0</v>
      </c>
      <c r="P171" s="170">
        <f>Capex!N169</f>
        <v>160.5</v>
      </c>
    </row>
    <row r="172" spans="2:16" ht="13" hidden="1" outlineLevel="1" x14ac:dyDescent="0.3">
      <c r="B172" s="7"/>
      <c r="C172" s="4" t="s">
        <v>459</v>
      </c>
      <c r="D172" s="6" t="s">
        <v>322</v>
      </c>
      <c r="E172" s="6" t="s">
        <v>56</v>
      </c>
      <c r="F172" s="67">
        <f t="shared" si="15"/>
        <v>1559.9973300000001</v>
      </c>
      <c r="H172" s="170">
        <f>Capex!F170</f>
        <v>0</v>
      </c>
      <c r="I172" s="170">
        <f>Capex!G170</f>
        <v>0</v>
      </c>
      <c r="J172" s="170">
        <f>Capex!H170</f>
        <v>0</v>
      </c>
      <c r="K172" s="170">
        <f>Capex!I170</f>
        <v>0</v>
      </c>
      <c r="L172" s="170">
        <f>Capex!J170</f>
        <v>0</v>
      </c>
      <c r="M172" s="170">
        <f>Capex!K170</f>
        <v>0</v>
      </c>
      <c r="N172" s="170">
        <f>Capex!L170</f>
        <v>0</v>
      </c>
      <c r="O172" s="170">
        <f>Capex!M170</f>
        <v>0</v>
      </c>
      <c r="P172" s="170">
        <f>Capex!N170</f>
        <v>1559.9973300000001</v>
      </c>
    </row>
    <row r="173" spans="2:16" ht="13" hidden="1" outlineLevel="1" x14ac:dyDescent="0.3">
      <c r="B173" s="7"/>
      <c r="C173" s="4" t="s">
        <v>460</v>
      </c>
      <c r="D173" s="6" t="s">
        <v>322</v>
      </c>
      <c r="E173" s="6" t="s">
        <v>56</v>
      </c>
      <c r="F173" s="67">
        <f t="shared" si="15"/>
        <v>564.25662999999997</v>
      </c>
      <c r="H173" s="170">
        <f>Capex!F171</f>
        <v>0</v>
      </c>
      <c r="I173" s="170">
        <f>Capex!G171</f>
        <v>0</v>
      </c>
      <c r="J173" s="170">
        <f>Capex!H171</f>
        <v>0</v>
      </c>
      <c r="K173" s="170">
        <f>Capex!I171</f>
        <v>0</v>
      </c>
      <c r="L173" s="170">
        <f>Capex!J171</f>
        <v>0</v>
      </c>
      <c r="M173" s="170">
        <f>Capex!K171</f>
        <v>0</v>
      </c>
      <c r="N173" s="170">
        <f>Capex!L171</f>
        <v>0</v>
      </c>
      <c r="O173" s="170">
        <f>Capex!M171</f>
        <v>0</v>
      </c>
      <c r="P173" s="170">
        <f>Capex!N171</f>
        <v>564.25662999999997</v>
      </c>
    </row>
    <row r="174" spans="2:16" ht="13" hidden="1" outlineLevel="1" x14ac:dyDescent="0.3">
      <c r="B174" s="7"/>
      <c r="C174" s="4" t="s">
        <v>461</v>
      </c>
      <c r="D174" s="6" t="s">
        <v>322</v>
      </c>
      <c r="E174" s="6" t="s">
        <v>56</v>
      </c>
      <c r="F174" s="67">
        <f t="shared" si="15"/>
        <v>118.34872</v>
      </c>
      <c r="H174" s="170">
        <f>Capex!F172</f>
        <v>0</v>
      </c>
      <c r="I174" s="170">
        <f>Capex!G172</f>
        <v>0</v>
      </c>
      <c r="J174" s="170">
        <f>Capex!H172</f>
        <v>0</v>
      </c>
      <c r="K174" s="170">
        <f>Capex!I172</f>
        <v>0</v>
      </c>
      <c r="L174" s="170">
        <f>Capex!J172</f>
        <v>0</v>
      </c>
      <c r="M174" s="170">
        <f>Capex!K172</f>
        <v>0</v>
      </c>
      <c r="N174" s="170">
        <f>Capex!L172</f>
        <v>0</v>
      </c>
      <c r="O174" s="170">
        <f>Capex!M172</f>
        <v>0</v>
      </c>
      <c r="P174" s="170">
        <f>Capex!N172</f>
        <v>118.34872</v>
      </c>
    </row>
    <row r="175" spans="2:16" ht="13" hidden="1" outlineLevel="1" x14ac:dyDescent="0.3">
      <c r="B175" s="7"/>
      <c r="C175" s="4" t="s">
        <v>462</v>
      </c>
      <c r="D175" s="6" t="s">
        <v>322</v>
      </c>
      <c r="E175" s="6" t="s">
        <v>56</v>
      </c>
      <c r="F175" s="67">
        <f t="shared" si="15"/>
        <v>1653.0930599999999</v>
      </c>
      <c r="H175" s="170">
        <f>Capex!F173</f>
        <v>3.5990000000000002</v>
      </c>
      <c r="I175" s="170">
        <f>Capex!G173</f>
        <v>286.28031249976482</v>
      </c>
      <c r="J175" s="170">
        <f>Capex!H173</f>
        <v>2938.5862475002355</v>
      </c>
      <c r="K175" s="170">
        <f>Capex!I173</f>
        <v>52.464299999999817</v>
      </c>
      <c r="L175" s="170">
        <f>Capex!J173</f>
        <v>486.09219999999999</v>
      </c>
      <c r="M175" s="170">
        <f>Capex!K173</f>
        <v>589.76963000000001</v>
      </c>
      <c r="N175" s="170">
        <f>Capex!L173</f>
        <v>-2807.77306</v>
      </c>
      <c r="O175" s="170">
        <f>Capex!M173</f>
        <v>104.07442999999999</v>
      </c>
      <c r="P175" s="170">
        <f>Capex!N173</f>
        <v>0</v>
      </c>
    </row>
    <row r="176" spans="2:16" collapsed="1" x14ac:dyDescent="0.25">
      <c r="H176" s="8"/>
      <c r="I176" s="205"/>
      <c r="J176" s="205"/>
      <c r="K176" s="205"/>
      <c r="L176" s="205"/>
      <c r="M176" s="205"/>
      <c r="N176" s="205"/>
      <c r="O176" s="205"/>
      <c r="P176" s="205"/>
    </row>
    <row r="177" spans="2:16" s="7" customFormat="1" ht="13" x14ac:dyDescent="0.3">
      <c r="C177" s="229" t="s">
        <v>463</v>
      </c>
      <c r="D177" s="257" t="s">
        <v>322</v>
      </c>
      <c r="E177" s="257" t="s">
        <v>56</v>
      </c>
      <c r="F177" s="258">
        <f t="shared" ref="F177" si="16">+SUM(H177:P177)</f>
        <v>551819.52399000013</v>
      </c>
      <c r="G177" s="229"/>
      <c r="H177" s="259">
        <f>+SUM(H10:H175)</f>
        <v>65618.022284256542</v>
      </c>
      <c r="I177" s="259">
        <f t="shared" ref="I177:P177" si="17">+SUM(I10:I175)</f>
        <v>4023.6200243422591</v>
      </c>
      <c r="J177" s="259">
        <f t="shared" si="17"/>
        <v>19766.275801401214</v>
      </c>
      <c r="K177" s="259">
        <f t="shared" si="17"/>
        <v>17178.122220000001</v>
      </c>
      <c r="L177" s="259">
        <f t="shared" si="17"/>
        <v>157784.40124000001</v>
      </c>
      <c r="M177" s="259">
        <f t="shared" si="17"/>
        <v>261265.44573000001</v>
      </c>
      <c r="N177" s="259">
        <f t="shared" si="17"/>
        <v>20827.84936</v>
      </c>
      <c r="O177" s="259">
        <f t="shared" si="17"/>
        <v>2324.6235700000007</v>
      </c>
      <c r="P177" s="259">
        <f t="shared" si="17"/>
        <v>3031.1637599999913</v>
      </c>
    </row>
    <row r="178" spans="2:16" x14ac:dyDescent="0.25">
      <c r="H178" s="8"/>
      <c r="I178" s="205"/>
      <c r="J178" s="205"/>
      <c r="K178" s="205"/>
      <c r="L178" s="205"/>
      <c r="M178" s="205"/>
      <c r="N178" s="205"/>
      <c r="O178" s="205"/>
      <c r="P178" s="205"/>
    </row>
    <row r="179" spans="2:16" x14ac:dyDescent="0.25">
      <c r="H179" s="8"/>
      <c r="I179" s="205"/>
      <c r="J179" s="205"/>
      <c r="K179" s="205"/>
      <c r="L179" s="205"/>
      <c r="M179" s="205"/>
      <c r="N179" s="205"/>
      <c r="O179" s="205"/>
      <c r="P179" s="205"/>
    </row>
    <row r="180" spans="2:16" ht="13" x14ac:dyDescent="0.3">
      <c r="B180" s="3" t="s">
        <v>325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x14ac:dyDescent="0.25">
      <c r="H181" s="8"/>
      <c r="I181" s="205"/>
      <c r="J181" s="205"/>
      <c r="K181" s="205"/>
      <c r="L181" s="205"/>
      <c r="M181" s="205"/>
      <c r="N181" s="205"/>
      <c r="O181" s="205"/>
      <c r="P181" s="205"/>
    </row>
    <row r="182" spans="2:16" ht="13" x14ac:dyDescent="0.3">
      <c r="B182" s="7" t="s">
        <v>467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2:16" hidden="1" outlineLevel="1" x14ac:dyDescent="0.25">
      <c r="C183" s="4" t="s">
        <v>468</v>
      </c>
      <c r="D183" s="6" t="s">
        <v>322</v>
      </c>
      <c r="E183" s="6" t="s">
        <v>56</v>
      </c>
      <c r="F183" s="67">
        <f t="shared" ref="F183:F184" si="18">+SUM(H183:P183)</f>
        <v>8564.7856916666642</v>
      </c>
      <c r="H183" s="67">
        <f>+Depreciación!F9</f>
        <v>423.99929166666669</v>
      </c>
      <c r="I183" s="67">
        <f>+Depreciación!G9</f>
        <v>1017.5982999999999</v>
      </c>
      <c r="J183" s="67">
        <f>+Depreciación!H9</f>
        <v>1017.5982999999999</v>
      </c>
      <c r="K183" s="67">
        <f>+Depreciación!I9</f>
        <v>1017.5982999999999</v>
      </c>
      <c r="L183" s="67">
        <f>+Depreciación!J9</f>
        <v>1017.5982999999999</v>
      </c>
      <c r="M183" s="67">
        <f>+Depreciación!K9</f>
        <v>1017.5982999999999</v>
      </c>
      <c r="N183" s="67">
        <f>+Depreciación!L9</f>
        <v>1017.5982999999999</v>
      </c>
      <c r="O183" s="67">
        <f>+Depreciación!M9</f>
        <v>1017.5982999999999</v>
      </c>
      <c r="P183" s="67">
        <f>+Depreciación!N9</f>
        <v>1017.5982999999999</v>
      </c>
    </row>
    <row r="184" spans="2:16" hidden="1" outlineLevel="1" x14ac:dyDescent="0.25">
      <c r="C184" s="4" t="s">
        <v>64</v>
      </c>
      <c r="D184" s="6" t="s">
        <v>322</v>
      </c>
      <c r="E184" s="6" t="s">
        <v>56</v>
      </c>
      <c r="F184" s="67">
        <f t="shared" si="18"/>
        <v>23382.189325000007</v>
      </c>
      <c r="H184" s="67">
        <f>+Depreciación!F10</f>
        <v>1157.5341249999999</v>
      </c>
      <c r="I184" s="67">
        <f>+Depreciación!G10</f>
        <v>2778.0819000000006</v>
      </c>
      <c r="J184" s="67">
        <f>+Depreciación!H10</f>
        <v>2778.0819000000006</v>
      </c>
      <c r="K184" s="67">
        <f>+Depreciación!I10</f>
        <v>2778.0819000000006</v>
      </c>
      <c r="L184" s="67">
        <f>+Depreciación!J10</f>
        <v>2778.0819000000006</v>
      </c>
      <c r="M184" s="67">
        <f>+Depreciación!K10</f>
        <v>2778.0819000000006</v>
      </c>
      <c r="N184" s="67">
        <f>+Depreciación!L10</f>
        <v>2778.0819000000006</v>
      </c>
      <c r="O184" s="67">
        <f>+Depreciación!M10</f>
        <v>2778.0819000000006</v>
      </c>
      <c r="P184" s="67">
        <f>+Depreciación!N10</f>
        <v>2778.0819000000006</v>
      </c>
    </row>
    <row r="185" spans="2:16" collapsed="1" x14ac:dyDescent="0.25">
      <c r="H185" s="8"/>
      <c r="I185" s="205"/>
      <c r="J185" s="205"/>
      <c r="K185" s="205"/>
      <c r="L185" s="205"/>
      <c r="M185" s="205"/>
      <c r="N185" s="205"/>
      <c r="O185" s="205"/>
      <c r="P185" s="205"/>
    </row>
    <row r="186" spans="2:16" ht="13" x14ac:dyDescent="0.3">
      <c r="B186" s="7" t="s">
        <v>324</v>
      </c>
    </row>
    <row r="187" spans="2:16" hidden="1" outlineLevel="1" x14ac:dyDescent="0.25">
      <c r="C187" s="4" t="s">
        <v>317</v>
      </c>
      <c r="D187" s="6" t="s">
        <v>322</v>
      </c>
      <c r="E187" s="6" t="s">
        <v>56</v>
      </c>
      <c r="F187" s="67">
        <f t="shared" ref="F187:F190" si="19">+SUM(H187:P187)</f>
        <v>5.1618023271604958</v>
      </c>
      <c r="H187" s="67">
        <f>+Depreciación!F13</f>
        <v>0</v>
      </c>
      <c r="I187" s="67">
        <f>+Depreciación!G13</f>
        <v>6.1449975606193391E-2</v>
      </c>
      <c r="J187" s="67">
        <f>+Depreciación!H13</f>
        <v>0.73740033245149905</v>
      </c>
      <c r="K187" s="67">
        <f>+Depreciación!I13</f>
        <v>0.73740033245149905</v>
      </c>
      <c r="L187" s="67">
        <f>+Depreciación!J13</f>
        <v>0.73740033245149905</v>
      </c>
      <c r="M187" s="67">
        <f>+Depreciación!K13</f>
        <v>0.73740033245149905</v>
      </c>
      <c r="N187" s="67">
        <f>+Depreciación!L13</f>
        <v>0.73740033245149905</v>
      </c>
      <c r="O187" s="67">
        <f>+Depreciación!M13</f>
        <v>0.73740033245149905</v>
      </c>
      <c r="P187" s="67">
        <f>+Depreciación!N13</f>
        <v>0.67595035684530691</v>
      </c>
    </row>
    <row r="188" spans="2:16" hidden="1" outlineLevel="1" x14ac:dyDescent="0.25">
      <c r="C188" s="4" t="s">
        <v>318</v>
      </c>
      <c r="D188" s="6" t="s">
        <v>322</v>
      </c>
      <c r="E188" s="6" t="s">
        <v>56</v>
      </c>
      <c r="F188" s="67">
        <f t="shared" si="19"/>
        <v>0.62545829973317413</v>
      </c>
      <c r="H188" s="67">
        <f>+Depreciación!F14</f>
        <v>0</v>
      </c>
      <c r="I188" s="67">
        <f>+Depreciación!G14</f>
        <v>7.3583329380373409E-3</v>
      </c>
      <c r="J188" s="67">
        <f>+Depreciación!H14</f>
        <v>8.8299995256448105E-2</v>
      </c>
      <c r="K188" s="67">
        <f>+Depreciación!I14</f>
        <v>8.8299995256448105E-2</v>
      </c>
      <c r="L188" s="67">
        <f>+Depreciación!J14</f>
        <v>8.8299995256448105E-2</v>
      </c>
      <c r="M188" s="67">
        <f>+Depreciación!K14</f>
        <v>8.8299995256448105E-2</v>
      </c>
      <c r="N188" s="67">
        <f>+Depreciación!L14</f>
        <v>8.8299995256448105E-2</v>
      </c>
      <c r="O188" s="67">
        <f>+Depreciación!M14</f>
        <v>8.8299995256448105E-2</v>
      </c>
      <c r="P188" s="67">
        <f>+Depreciación!N14</f>
        <v>8.8299995256448105E-2</v>
      </c>
    </row>
    <row r="189" spans="2:16" hidden="1" outlineLevel="1" x14ac:dyDescent="0.25">
      <c r="C189" s="4" t="s">
        <v>319</v>
      </c>
      <c r="D189" s="6" t="s">
        <v>322</v>
      </c>
      <c r="E189" s="6" t="s">
        <v>56</v>
      </c>
      <c r="F189" s="67">
        <f t="shared" si="19"/>
        <v>60.872774902056811</v>
      </c>
      <c r="H189" s="67">
        <f>+Depreciación!F15</f>
        <v>0</v>
      </c>
      <c r="I189" s="67">
        <f>+Depreciación!G15</f>
        <v>0</v>
      </c>
      <c r="J189" s="67">
        <f>+Depreciación!H15</f>
        <v>5.3937901811949072</v>
      </c>
      <c r="K189" s="67">
        <f>+Depreciación!I15</f>
        <v>9.2464974534769837</v>
      </c>
      <c r="L189" s="67">
        <f>+Depreciación!J15</f>
        <v>9.2464974534769837</v>
      </c>
      <c r="M189" s="67">
        <f>+Depreciación!K15</f>
        <v>9.2464974534769837</v>
      </c>
      <c r="N189" s="67">
        <f>+Depreciación!L15</f>
        <v>9.2464974534769837</v>
      </c>
      <c r="O189" s="67">
        <f>+Depreciación!M15</f>
        <v>9.2464974534769837</v>
      </c>
      <c r="P189" s="67">
        <f>+Depreciación!N15</f>
        <v>9.2464974534769837</v>
      </c>
    </row>
    <row r="190" spans="2:16" hidden="1" outlineLevel="1" x14ac:dyDescent="0.25">
      <c r="C190" s="4" t="s">
        <v>321</v>
      </c>
      <c r="D190" s="6" t="s">
        <v>322</v>
      </c>
      <c r="E190" s="6" t="s">
        <v>56</v>
      </c>
      <c r="F190" s="67">
        <f t="shared" si="19"/>
        <v>4.3738095238095234</v>
      </c>
      <c r="H190" s="67">
        <f>+Depreciación!F16</f>
        <v>0</v>
      </c>
      <c r="I190" s="67">
        <f>+Depreciación!G16</f>
        <v>0</v>
      </c>
      <c r="J190" s="67">
        <f>+Depreciación!H16</f>
        <v>0</v>
      </c>
      <c r="K190" s="67">
        <f>+Depreciación!I16</f>
        <v>0</v>
      </c>
      <c r="L190" s="67">
        <f>+Depreciación!J16</f>
        <v>0</v>
      </c>
      <c r="M190" s="67">
        <f>+Depreciación!K16</f>
        <v>0.79523809523809508</v>
      </c>
      <c r="N190" s="67">
        <f>+Depreciación!L16</f>
        <v>1.1928571428571428</v>
      </c>
      <c r="O190" s="67">
        <f>+Depreciación!M16</f>
        <v>1.1928571428571428</v>
      </c>
      <c r="P190" s="67">
        <f>+Depreciación!N16</f>
        <v>1.1928571428571428</v>
      </c>
    </row>
    <row r="191" spans="2:16" hidden="1" outlineLevel="1" x14ac:dyDescent="0.25">
      <c r="C191" s="223" t="s">
        <v>344</v>
      </c>
      <c r="D191" s="254" t="s">
        <v>322</v>
      </c>
      <c r="E191" s="254" t="s">
        <v>56</v>
      </c>
      <c r="F191" s="255">
        <f t="shared" ref="F191:F194" si="20">+SUM(H191:P191)</f>
        <v>150.32045745150955</v>
      </c>
      <c r="G191" s="223"/>
      <c r="H191" s="255">
        <f>+Depreciación!F17</f>
        <v>1.0949690719021639</v>
      </c>
      <c r="I191" s="255">
        <f>+Depreciación!G17</f>
        <v>10.480057501439484</v>
      </c>
      <c r="J191" s="255">
        <f>+Depreciación!H17</f>
        <v>12.546629892736568</v>
      </c>
      <c r="K191" s="255">
        <f>+Depreciación!I17</f>
        <v>25.303579323255622</v>
      </c>
      <c r="L191" s="255">
        <f>+Depreciación!J17</f>
        <v>25.302446704207998</v>
      </c>
      <c r="M191" s="255">
        <f>+Depreciación!K17</f>
        <v>25.302446704207998</v>
      </c>
      <c r="N191" s="255">
        <f>+Depreciación!L17</f>
        <v>25.302446704207998</v>
      </c>
      <c r="O191" s="255">
        <f>+Depreciación!M17</f>
        <v>24.98788154955173</v>
      </c>
      <c r="P191" s="255">
        <f>+Depreciación!N17</f>
        <v>0</v>
      </c>
    </row>
    <row r="192" spans="2:16" hidden="1" outlineLevel="1" x14ac:dyDescent="0.25">
      <c r="C192" s="223" t="s">
        <v>345</v>
      </c>
      <c r="D192" s="254" t="s">
        <v>322</v>
      </c>
      <c r="E192" s="254" t="s">
        <v>56</v>
      </c>
      <c r="F192" s="255">
        <f t="shared" si="20"/>
        <v>1100.674558621994</v>
      </c>
      <c r="G192" s="223"/>
      <c r="H192" s="255">
        <f>+Depreciación!F18</f>
        <v>3.1275442615894353</v>
      </c>
      <c r="I192" s="255">
        <f>+Depreciación!G18</f>
        <v>64.050654242101174</v>
      </c>
      <c r="J192" s="255">
        <f>+Depreciación!H18</f>
        <v>126.22854292265791</v>
      </c>
      <c r="K192" s="255">
        <f>+Depreciación!I18</f>
        <v>157.02167000997969</v>
      </c>
      <c r="L192" s="255">
        <f>+Depreciación!J18</f>
        <v>164.38108534490041</v>
      </c>
      <c r="M192" s="255">
        <f>+Depreciación!K18</f>
        <v>163.13399240839243</v>
      </c>
      <c r="N192" s="255">
        <f>+Depreciación!L18</f>
        <v>162.51741925486186</v>
      </c>
      <c r="O192" s="255">
        <f>+Depreciación!M18</f>
        <v>160.83533353709046</v>
      </c>
      <c r="P192" s="255">
        <f>+Depreciación!N18</f>
        <v>99.378316640420763</v>
      </c>
    </row>
    <row r="193" spans="2:16" hidden="1" outlineLevel="1" x14ac:dyDescent="0.25">
      <c r="C193" s="223" t="s">
        <v>346</v>
      </c>
      <c r="D193" s="254" t="s">
        <v>322</v>
      </c>
      <c r="E193" s="254" t="s">
        <v>56</v>
      </c>
      <c r="F193" s="255">
        <f t="shared" si="20"/>
        <v>73.098969999999994</v>
      </c>
      <c r="G193" s="223"/>
      <c r="H193" s="255">
        <f>+Depreciación!F19</f>
        <v>0</v>
      </c>
      <c r="I193" s="255">
        <f>+Depreciación!G19</f>
        <v>19.608449583333336</v>
      </c>
      <c r="J193" s="255">
        <f>+Depreciación!H19</f>
        <v>33.614485000000002</v>
      </c>
      <c r="K193" s="255">
        <f>+Depreciación!I19</f>
        <v>14.006035416666666</v>
      </c>
      <c r="L193" s="255">
        <f>+Depreciación!J19</f>
        <v>0</v>
      </c>
      <c r="M193" s="255">
        <f>+Depreciación!K19</f>
        <v>1.793611111111111</v>
      </c>
      <c r="N193" s="255">
        <f>+Depreciación!L19</f>
        <v>1.9566666666666668</v>
      </c>
      <c r="O193" s="255">
        <f>+Depreciación!M19</f>
        <v>1.9566666666666668</v>
      </c>
      <c r="P193" s="255">
        <f>+Depreciación!N19</f>
        <v>0.16305555555555498</v>
      </c>
    </row>
    <row r="194" spans="2:16" hidden="1" outlineLevel="1" x14ac:dyDescent="0.25">
      <c r="C194" s="223" t="s">
        <v>347</v>
      </c>
      <c r="D194" s="254" t="s">
        <v>322</v>
      </c>
      <c r="E194" s="254" t="s">
        <v>56</v>
      </c>
      <c r="F194" s="255">
        <f t="shared" si="20"/>
        <v>471.33247497737801</v>
      </c>
      <c r="G194" s="223"/>
      <c r="H194" s="255">
        <f>+Depreciación!F20</f>
        <v>0</v>
      </c>
      <c r="I194" s="255">
        <f>+Depreciación!G20</f>
        <v>18.494818441793839</v>
      </c>
      <c r="J194" s="255">
        <f>+Depreciación!H20</f>
        <v>27.996214962837527</v>
      </c>
      <c r="K194" s="255">
        <f>+Depreciación!I20</f>
        <v>49.902669788085568</v>
      </c>
      <c r="L194" s="255">
        <f>+Depreciación!J20</f>
        <v>58.412062401180805</v>
      </c>
      <c r="M194" s="255">
        <f>+Depreciación!K20</f>
        <v>75.973290954752244</v>
      </c>
      <c r="N194" s="255">
        <f>+Depreciación!L20</f>
        <v>80.89424333570463</v>
      </c>
      <c r="O194" s="255">
        <f>+Depreciación!M20</f>
        <v>80.89424333570463</v>
      </c>
      <c r="P194" s="255">
        <f>+Depreciación!N20</f>
        <v>78.764931757318777</v>
      </c>
    </row>
    <row r="195" spans="2:16" collapsed="1" x14ac:dyDescent="0.25">
      <c r="D195" s="6"/>
      <c r="E195" s="6"/>
      <c r="F195" s="67"/>
      <c r="H195" s="265"/>
      <c r="I195" s="265"/>
      <c r="J195" s="265"/>
      <c r="K195" s="265"/>
      <c r="L195" s="265"/>
      <c r="M195" s="265"/>
      <c r="N195" s="265"/>
      <c r="O195" s="265"/>
      <c r="P195" s="67"/>
    </row>
    <row r="196" spans="2:16" ht="13" x14ac:dyDescent="0.3">
      <c r="B196" s="7" t="s">
        <v>320</v>
      </c>
      <c r="C196" s="71"/>
      <c r="D196" s="76"/>
      <c r="E196" s="76"/>
      <c r="F196" s="69"/>
      <c r="I196" s="69"/>
      <c r="J196" s="69"/>
      <c r="L196" s="69"/>
      <c r="M196" s="69"/>
      <c r="N196" s="69"/>
      <c r="O196" s="69"/>
      <c r="P196" s="69"/>
    </row>
    <row r="197" spans="2:16" hidden="1" outlineLevel="1" x14ac:dyDescent="0.25">
      <c r="C197" s="71" t="s">
        <v>323</v>
      </c>
      <c r="D197" s="6" t="s">
        <v>322</v>
      </c>
      <c r="E197" s="6" t="s">
        <v>56</v>
      </c>
      <c r="F197" s="67">
        <f t="shared" ref="F197:F203" si="21">+SUM(H197:P197)</f>
        <v>157.45891869047617</v>
      </c>
      <c r="H197" s="69">
        <f>+Depreciación!F23</f>
        <v>0</v>
      </c>
      <c r="I197" s="69">
        <f>+Depreciación!G23</f>
        <v>0</v>
      </c>
      <c r="J197" s="69">
        <f>+Depreciación!H23</f>
        <v>8.0091285714285707</v>
      </c>
      <c r="K197" s="69">
        <f>+Depreciación!I23</f>
        <v>21.307124404761904</v>
      </c>
      <c r="L197" s="69">
        <f>+Depreciación!J23</f>
        <v>22.653807142857143</v>
      </c>
      <c r="M197" s="69">
        <f>+Depreciación!K23</f>
        <v>23.213628571428568</v>
      </c>
      <c r="N197" s="69">
        <f>+Depreciación!L23</f>
        <v>27.118449999999992</v>
      </c>
      <c r="O197" s="69">
        <f>+Depreciación!M23</f>
        <v>27.468807142857141</v>
      </c>
      <c r="P197" s="69">
        <f>+Depreciación!N23</f>
        <v>27.687972857142856</v>
      </c>
    </row>
    <row r="198" spans="2:16" hidden="1" outlineLevel="1" x14ac:dyDescent="0.25">
      <c r="C198" s="4" t="s">
        <v>326</v>
      </c>
      <c r="D198" s="6" t="s">
        <v>322</v>
      </c>
      <c r="E198" s="6" t="s">
        <v>56</v>
      </c>
      <c r="F198" s="67">
        <f t="shared" si="21"/>
        <v>687.80925201447519</v>
      </c>
      <c r="H198" s="170">
        <f>+Depreciación!F24</f>
        <v>44.580597517833461</v>
      </c>
      <c r="I198" s="170">
        <f>+Depreciación!G24</f>
        <v>127.04369130063905</v>
      </c>
      <c r="J198" s="170">
        <f>+Depreciación!H24</f>
        <v>147.27396229510501</v>
      </c>
      <c r="K198" s="170">
        <f>+Depreciación!I24</f>
        <v>144.85079912843838</v>
      </c>
      <c r="L198" s="170">
        <f>+Depreciación!J24</f>
        <v>144.07396200000002</v>
      </c>
      <c r="M198" s="170">
        <f>+Depreciación!K24</f>
        <v>79.986239772459285</v>
      </c>
      <c r="N198" s="170">
        <f>+Depreciación!L24</f>
        <v>0</v>
      </c>
      <c r="O198" s="170">
        <f>+Depreciación!M24</f>
        <v>0</v>
      </c>
      <c r="P198" s="170">
        <f>+Depreciación!N24</f>
        <v>0</v>
      </c>
    </row>
    <row r="199" spans="2:16" hidden="1" outlineLevel="1" x14ac:dyDescent="0.25">
      <c r="C199" s="4" t="s">
        <v>327</v>
      </c>
      <c r="D199" s="6" t="s">
        <v>322</v>
      </c>
      <c r="E199" s="6" t="s">
        <v>56</v>
      </c>
      <c r="F199" s="67">
        <f t="shared" si="21"/>
        <v>505.31751000000003</v>
      </c>
      <c r="H199" s="170">
        <f>+Depreciación!F25</f>
        <v>16.670978533875573</v>
      </c>
      <c r="I199" s="170">
        <f>+Depreciación!G25</f>
        <v>101.06350112588314</v>
      </c>
      <c r="J199" s="170">
        <f>+Depreciación!H25</f>
        <v>101.06350200000001</v>
      </c>
      <c r="K199" s="170">
        <f>+Depreciación!I25</f>
        <v>101.06350200000001</v>
      </c>
      <c r="L199" s="170">
        <f>+Depreciación!J25</f>
        <v>101.06350200000001</v>
      </c>
      <c r="M199" s="170">
        <f>+Depreciación!K25</f>
        <v>84.39252434024128</v>
      </c>
      <c r="N199" s="170">
        <f>+Depreciación!L25</f>
        <v>0</v>
      </c>
      <c r="O199" s="170">
        <f>+Depreciación!M25</f>
        <v>0</v>
      </c>
      <c r="P199" s="170">
        <f>+Depreciación!N25</f>
        <v>0</v>
      </c>
    </row>
    <row r="200" spans="2:16" hidden="1" outlineLevel="1" x14ac:dyDescent="0.25">
      <c r="C200" s="4" t="s">
        <v>328</v>
      </c>
      <c r="D200" s="6" t="s">
        <v>322</v>
      </c>
      <c r="E200" s="6" t="s">
        <v>56</v>
      </c>
      <c r="F200" s="67">
        <f t="shared" si="21"/>
        <v>5.7001266998680116</v>
      </c>
      <c r="H200" s="170">
        <f>+Depreciación!F26</f>
        <v>0.22575702861031866</v>
      </c>
      <c r="I200" s="170">
        <f>+Depreciación!G26</f>
        <v>1.3685936712576936</v>
      </c>
      <c r="J200" s="170">
        <f>+Depreciación!H26</f>
        <v>1.368592</v>
      </c>
      <c r="K200" s="170">
        <f>+Depreciación!I26</f>
        <v>1.368592</v>
      </c>
      <c r="L200" s="170">
        <f>+Depreciación!J26</f>
        <v>1.368592</v>
      </c>
      <c r="M200" s="170">
        <f>+Depreciación!K26</f>
        <v>0</v>
      </c>
      <c r="N200" s="170">
        <f>+Depreciación!L26</f>
        <v>0</v>
      </c>
      <c r="O200" s="170">
        <f>+Depreciación!M26</f>
        <v>0</v>
      </c>
      <c r="P200" s="170">
        <f>+Depreciación!N26</f>
        <v>0</v>
      </c>
    </row>
    <row r="201" spans="2:16" hidden="1" outlineLevel="1" x14ac:dyDescent="0.25">
      <c r="C201" s="4" t="s">
        <v>329</v>
      </c>
      <c r="D201" s="6" t="s">
        <v>322</v>
      </c>
      <c r="E201" s="6" t="s">
        <v>56</v>
      </c>
      <c r="F201" s="67">
        <f t="shared" si="21"/>
        <v>17.647770000000001</v>
      </c>
      <c r="H201" s="170">
        <f>+Depreciación!F27</f>
        <v>0</v>
      </c>
      <c r="I201" s="170">
        <f>+Depreciación!G27</f>
        <v>0</v>
      </c>
      <c r="J201" s="170">
        <f>+Depreciación!H27</f>
        <v>3.5295540000000001</v>
      </c>
      <c r="K201" s="170">
        <f>+Depreciación!I27</f>
        <v>3.5295540000000001</v>
      </c>
      <c r="L201" s="170">
        <f>+Depreciación!J27</f>
        <v>3.5295540000000001</v>
      </c>
      <c r="M201" s="170">
        <f>+Depreciación!K27</f>
        <v>3.5295540000000001</v>
      </c>
      <c r="N201" s="170">
        <f>+Depreciación!L27</f>
        <v>3.5295540000000001</v>
      </c>
      <c r="O201" s="170">
        <f>+Depreciación!M27</f>
        <v>0</v>
      </c>
      <c r="P201" s="170">
        <f>+Depreciación!N27</f>
        <v>0</v>
      </c>
    </row>
    <row r="202" spans="2:16" hidden="1" outlineLevel="1" x14ac:dyDescent="0.25">
      <c r="C202" s="4" t="s">
        <v>330</v>
      </c>
      <c r="D202" s="6" t="s">
        <v>322</v>
      </c>
      <c r="E202" s="6" t="s">
        <v>56</v>
      </c>
      <c r="F202" s="67">
        <f t="shared" si="21"/>
        <v>40.98970700000001</v>
      </c>
      <c r="H202" s="170">
        <f>+Depreciación!F28</f>
        <v>0</v>
      </c>
      <c r="I202" s="170">
        <f>+Depreciación!G28</f>
        <v>0</v>
      </c>
      <c r="J202" s="170">
        <f>+Depreciación!H28</f>
        <v>0</v>
      </c>
      <c r="K202" s="170">
        <f>+Depreciación!I28</f>
        <v>0</v>
      </c>
      <c r="L202" s="170">
        <f>+Depreciación!J28</f>
        <v>0</v>
      </c>
      <c r="M202" s="170">
        <f>+Depreciación!K28</f>
        <v>6.6727430000000014</v>
      </c>
      <c r="N202" s="170">
        <f>+Depreciación!L28</f>
        <v>11.438988000000002</v>
      </c>
      <c r="O202" s="170">
        <f>+Depreciación!M28</f>
        <v>11.438988000000002</v>
      </c>
      <c r="P202" s="170">
        <f>+Depreciación!N28</f>
        <v>11.438988000000002</v>
      </c>
    </row>
    <row r="203" spans="2:16" hidden="1" outlineLevel="1" x14ac:dyDescent="0.25">
      <c r="C203" s="71" t="s">
        <v>63</v>
      </c>
      <c r="D203" s="6" t="s">
        <v>322</v>
      </c>
      <c r="E203" s="6" t="s">
        <v>56</v>
      </c>
      <c r="F203" s="67">
        <f t="shared" si="21"/>
        <v>1871.8805712374337</v>
      </c>
      <c r="H203" s="69">
        <f>+Depreciación!F29</f>
        <v>22.141019699037525</v>
      </c>
      <c r="I203" s="69">
        <f>+Depreciación!G29</f>
        <v>104.26285933602689</v>
      </c>
      <c r="J203" s="69">
        <f>+Depreciación!H29</f>
        <v>128.81584936705815</v>
      </c>
      <c r="K203" s="69">
        <f>+Depreciación!I29</f>
        <v>118.50289205030832</v>
      </c>
      <c r="L203" s="69">
        <f>+Depreciación!J29</f>
        <v>67.444973086586785</v>
      </c>
      <c r="M203" s="69">
        <f>+Depreciación!K29</f>
        <v>126.9562197222222</v>
      </c>
      <c r="N203" s="69">
        <f>+Depreciación!L29</f>
        <v>302.13858166666819</v>
      </c>
      <c r="O203" s="69">
        <f>+Depreciación!M29</f>
        <v>459.63687916666822</v>
      </c>
      <c r="P203" s="69">
        <f>+Depreciación!N29</f>
        <v>541.98129714285722</v>
      </c>
    </row>
    <row r="204" spans="2:16" hidden="1" outlineLevel="1" x14ac:dyDescent="0.25">
      <c r="C204" s="4" t="s">
        <v>331</v>
      </c>
      <c r="D204" s="6" t="s">
        <v>322</v>
      </c>
      <c r="E204" s="6" t="s">
        <v>56</v>
      </c>
      <c r="F204" s="67">
        <f t="shared" ref="F204:F208" si="22">+SUM(H204:P204)</f>
        <v>244.19587488095237</v>
      </c>
      <c r="H204" s="170">
        <f>+Depreciación!F30</f>
        <v>0</v>
      </c>
      <c r="I204" s="170">
        <f>+Depreciación!G30</f>
        <v>0</v>
      </c>
      <c r="J204" s="170">
        <f>+Depreciación!H30</f>
        <v>21.637609166666664</v>
      </c>
      <c r="K204" s="170">
        <f>+Depreciación!I30</f>
        <v>37.093044285714285</v>
      </c>
      <c r="L204" s="170">
        <f>+Depreciación!J30</f>
        <v>37.093044285714285</v>
      </c>
      <c r="M204" s="170">
        <f>+Depreciación!K30</f>
        <v>37.093044285714285</v>
      </c>
      <c r="N204" s="170">
        <f>+Depreciación!L30</f>
        <v>37.093044285714285</v>
      </c>
      <c r="O204" s="170">
        <f>+Depreciación!M30</f>
        <v>37.093044285714285</v>
      </c>
      <c r="P204" s="170">
        <f>+Depreciación!N30</f>
        <v>37.093044285714285</v>
      </c>
    </row>
    <row r="205" spans="2:16" hidden="1" outlineLevel="1" x14ac:dyDescent="0.25">
      <c r="C205" s="4" t="s">
        <v>332</v>
      </c>
      <c r="D205" s="6" t="s">
        <v>322</v>
      </c>
      <c r="E205" s="6" t="s">
        <v>56</v>
      </c>
      <c r="F205" s="67">
        <f t="shared" si="22"/>
        <v>1.0361600000000002</v>
      </c>
      <c r="H205" s="170">
        <f>+Depreciación!F31</f>
        <v>0</v>
      </c>
      <c r="I205" s="170">
        <f>+Depreciación!G31</f>
        <v>0.14391111111111113</v>
      </c>
      <c r="J205" s="170">
        <f>+Depreciación!H31</f>
        <v>0.34538666666666668</v>
      </c>
      <c r="K205" s="170">
        <f>+Depreciación!I31</f>
        <v>0.34538666666666668</v>
      </c>
      <c r="L205" s="170">
        <f>+Depreciación!J31</f>
        <v>0.2014755555555556</v>
      </c>
      <c r="M205" s="170">
        <f>+Depreciación!K31</f>
        <v>0</v>
      </c>
      <c r="N205" s="170">
        <f>+Depreciación!L31</f>
        <v>0</v>
      </c>
      <c r="O205" s="170">
        <f>+Depreciación!M31</f>
        <v>0</v>
      </c>
      <c r="P205" s="170">
        <f>+Depreciación!N31</f>
        <v>0</v>
      </c>
    </row>
    <row r="206" spans="2:16" hidden="1" outlineLevel="1" x14ac:dyDescent="0.25">
      <c r="C206" s="4" t="s">
        <v>333</v>
      </c>
      <c r="D206" s="6" t="s">
        <v>322</v>
      </c>
      <c r="E206" s="6" t="s">
        <v>56</v>
      </c>
      <c r="F206" s="67">
        <f t="shared" si="22"/>
        <v>1.5128099999999804</v>
      </c>
      <c r="H206" s="170">
        <f>+Depreciación!F32</f>
        <v>0</v>
      </c>
      <c r="I206" s="170">
        <f>+Depreciación!G32</f>
        <v>11.433534722222221</v>
      </c>
      <c r="J206" s="170">
        <f>+Depreciación!H32</f>
        <v>27.440483333333326</v>
      </c>
      <c r="K206" s="170">
        <f>+Depreciación!I32</f>
        <v>2.7489544444444438</v>
      </c>
      <c r="L206" s="170">
        <f>+Depreciación!J32</f>
        <v>-40.110162500000008</v>
      </c>
      <c r="M206" s="170">
        <f>+Depreciación!K32</f>
        <v>0</v>
      </c>
      <c r="N206" s="170">
        <f>+Depreciación!L32</f>
        <v>0</v>
      </c>
      <c r="O206" s="170">
        <f>+Depreciación!M32</f>
        <v>0</v>
      </c>
      <c r="P206" s="170">
        <f>+Depreciación!N32</f>
        <v>0</v>
      </c>
    </row>
    <row r="207" spans="2:16" hidden="1" outlineLevel="1" x14ac:dyDescent="0.25">
      <c r="C207" s="4" t="s">
        <v>334</v>
      </c>
      <c r="D207" s="6" t="s">
        <v>322</v>
      </c>
      <c r="E207" s="6" t="s">
        <v>56</v>
      </c>
      <c r="F207" s="67">
        <f t="shared" si="22"/>
        <v>3.121</v>
      </c>
      <c r="H207" s="170">
        <f>+Depreciación!F33</f>
        <v>0</v>
      </c>
      <c r="I207" s="170">
        <f>+Depreciación!G33</f>
        <v>7.4309523809523798E-2</v>
      </c>
      <c r="J207" s="170">
        <f>+Depreciación!H33</f>
        <v>0.44585714285714284</v>
      </c>
      <c r="K207" s="170">
        <f>+Depreciación!I33</f>
        <v>0.44585714285714284</v>
      </c>
      <c r="L207" s="170">
        <f>+Depreciación!J33</f>
        <v>0.44585714285714284</v>
      </c>
      <c r="M207" s="170">
        <f>+Depreciación!K33</f>
        <v>0.44585714285714284</v>
      </c>
      <c r="N207" s="170">
        <f>+Depreciación!L33</f>
        <v>0.44585714285714284</v>
      </c>
      <c r="O207" s="170">
        <f>+Depreciación!M33</f>
        <v>0.44585714285714284</v>
      </c>
      <c r="P207" s="170">
        <f>+Depreciación!N33</f>
        <v>0.37154761904761935</v>
      </c>
    </row>
    <row r="208" spans="2:16" hidden="1" outlineLevel="1" x14ac:dyDescent="0.25">
      <c r="C208" s="4" t="s">
        <v>335</v>
      </c>
      <c r="D208" s="6" t="s">
        <v>322</v>
      </c>
      <c r="E208" s="6" t="s">
        <v>56</v>
      </c>
      <c r="F208" s="67">
        <f t="shared" si="22"/>
        <v>524.00004761904756</v>
      </c>
      <c r="H208" s="170">
        <f>+Depreciación!F34</f>
        <v>0</v>
      </c>
      <c r="I208" s="170">
        <f>+Depreciación!G34</f>
        <v>0</v>
      </c>
      <c r="J208" s="170">
        <f>+Depreciación!H34</f>
        <v>52.400004761904754</v>
      </c>
      <c r="K208" s="170">
        <f>+Depreciación!I34</f>
        <v>78.600007142857137</v>
      </c>
      <c r="L208" s="170">
        <f>+Depreciación!J34</f>
        <v>78.600007142857137</v>
      </c>
      <c r="M208" s="170">
        <f>+Depreciación!K34</f>
        <v>78.600007142857137</v>
      </c>
      <c r="N208" s="170">
        <f>+Depreciación!L34</f>
        <v>78.600007142857137</v>
      </c>
      <c r="O208" s="170">
        <f>+Depreciación!M34</f>
        <v>78.600007142857137</v>
      </c>
      <c r="P208" s="170">
        <f>+Depreciación!N34</f>
        <v>78.600007142857137</v>
      </c>
    </row>
    <row r="209" spans="2:16" hidden="1" outlineLevel="1" x14ac:dyDescent="0.25">
      <c r="C209" s="4" t="s">
        <v>336</v>
      </c>
      <c r="D209" s="6" t="s">
        <v>322</v>
      </c>
      <c r="E209" s="6" t="s">
        <v>56</v>
      </c>
      <c r="F209" s="67">
        <f t="shared" ref="F209" si="23">+SUM(H209:P209)</f>
        <v>174.81154357142859</v>
      </c>
      <c r="H209" s="170">
        <f>+Depreciación!F35</f>
        <v>0</v>
      </c>
      <c r="I209" s="170">
        <f>+Depreciación!G35</f>
        <v>0</v>
      </c>
      <c r="J209" s="170">
        <f>+Depreciación!H35</f>
        <v>0</v>
      </c>
      <c r="K209" s="170">
        <f>+Depreciación!I35</f>
        <v>21.422157857142857</v>
      </c>
      <c r="L209" s="170">
        <f>+Depreciación!J35</f>
        <v>28.562877142857143</v>
      </c>
      <c r="M209" s="170">
        <f>+Depreciación!K35</f>
        <v>31.037877142857145</v>
      </c>
      <c r="N209" s="170">
        <f>+Depreciación!L35</f>
        <v>31.262877142857143</v>
      </c>
      <c r="O209" s="170">
        <f>+Depreciación!M35</f>
        <v>31.262877142857143</v>
      </c>
      <c r="P209" s="170">
        <f>+Depreciación!N35</f>
        <v>31.262877142857143</v>
      </c>
    </row>
    <row r="210" spans="2:16" hidden="1" outlineLevel="1" x14ac:dyDescent="0.25">
      <c r="C210" s="4" t="s">
        <v>337</v>
      </c>
      <c r="D210" s="6" t="s">
        <v>322</v>
      </c>
      <c r="E210" s="6" t="s">
        <v>56</v>
      </c>
      <c r="F210" s="67">
        <f t="shared" ref="F210:F223" si="24">+SUM(H210:P210)</f>
        <v>143.72287714285713</v>
      </c>
      <c r="H210" s="170">
        <f>+Depreciación!F36</f>
        <v>0</v>
      </c>
      <c r="I210" s="170">
        <f>+Depreciación!G36</f>
        <v>0</v>
      </c>
      <c r="J210" s="170">
        <f>+Depreciación!H36</f>
        <v>0</v>
      </c>
      <c r="K210" s="170">
        <f>+Depreciación!I36</f>
        <v>23.953812857142857</v>
      </c>
      <c r="L210" s="170">
        <f>+Depreciación!J36</f>
        <v>23.953812857142857</v>
      </c>
      <c r="M210" s="170">
        <f>+Depreciación!K36</f>
        <v>23.953812857142857</v>
      </c>
      <c r="N210" s="170">
        <f>+Depreciación!L36</f>
        <v>23.953812857142857</v>
      </c>
      <c r="O210" s="170">
        <f>+Depreciación!M36</f>
        <v>23.953812857142857</v>
      </c>
      <c r="P210" s="170">
        <f>+Depreciación!N36</f>
        <v>23.953812857142857</v>
      </c>
    </row>
    <row r="211" spans="2:16" hidden="1" outlineLevel="1" x14ac:dyDescent="0.25">
      <c r="C211" s="4" t="s">
        <v>338</v>
      </c>
      <c r="D211" s="6" t="s">
        <v>322</v>
      </c>
      <c r="E211" s="6" t="s">
        <v>56</v>
      </c>
      <c r="F211" s="67">
        <f t="shared" si="24"/>
        <v>9.4955395238095228</v>
      </c>
      <c r="H211" s="170">
        <f>+Depreciación!F37</f>
        <v>0</v>
      </c>
      <c r="I211" s="170">
        <f>+Depreciación!G37</f>
        <v>0</v>
      </c>
      <c r="J211" s="170">
        <f>+Depreciación!H37</f>
        <v>0</v>
      </c>
      <c r="K211" s="170">
        <f>+Depreciación!I37</f>
        <v>0</v>
      </c>
      <c r="L211" s="170">
        <f>+Depreciación!J37</f>
        <v>0</v>
      </c>
      <c r="M211" s="170">
        <f>+Depreciación!K37</f>
        <v>0.49976523809523804</v>
      </c>
      <c r="N211" s="170">
        <f>+Depreciación!L37</f>
        <v>2.9985914285714284</v>
      </c>
      <c r="O211" s="170">
        <f>+Depreciación!M37</f>
        <v>2.9985914285714284</v>
      </c>
      <c r="P211" s="170">
        <f>+Depreciación!N37</f>
        <v>2.9985914285714284</v>
      </c>
    </row>
    <row r="212" spans="2:16" hidden="1" outlineLevel="1" x14ac:dyDescent="0.25">
      <c r="C212" s="4" t="s">
        <v>339</v>
      </c>
      <c r="D212" s="6" t="s">
        <v>322</v>
      </c>
      <c r="E212" s="6" t="s">
        <v>56</v>
      </c>
      <c r="F212" s="67">
        <f t="shared" si="24"/>
        <v>21.195239999999998</v>
      </c>
      <c r="H212" s="170">
        <f>+Depreciación!F38</f>
        <v>0</v>
      </c>
      <c r="I212" s="170">
        <f>+Depreciación!G38</f>
        <v>0</v>
      </c>
      <c r="J212" s="170">
        <f>+Depreciación!H38</f>
        <v>0</v>
      </c>
      <c r="K212" s="170">
        <f>+Depreciación!I38</f>
        <v>0</v>
      </c>
      <c r="L212" s="170">
        <f>+Depreciación!J38</f>
        <v>0</v>
      </c>
      <c r="M212" s="170">
        <f>+Depreciación!K38</f>
        <v>3.8536800000000002</v>
      </c>
      <c r="N212" s="170">
        <f>+Depreciación!L38</f>
        <v>5.7805200000000001</v>
      </c>
      <c r="O212" s="170">
        <f>+Depreciación!M38</f>
        <v>5.7805200000000001</v>
      </c>
      <c r="P212" s="170">
        <f>+Depreciación!N38</f>
        <v>5.7805200000000001</v>
      </c>
    </row>
    <row r="213" spans="2:16" hidden="1" outlineLevel="1" x14ac:dyDescent="0.25">
      <c r="C213" s="4" t="s">
        <v>340</v>
      </c>
      <c r="D213" s="6" t="s">
        <v>322</v>
      </c>
      <c r="E213" s="6" t="s">
        <v>56</v>
      </c>
      <c r="F213" s="67">
        <f t="shared" si="24"/>
        <v>86.302265625000004</v>
      </c>
      <c r="H213" s="170">
        <f>+Depreciación!F39</f>
        <v>0</v>
      </c>
      <c r="I213" s="170">
        <f>+Depreciación!G39</f>
        <v>0</v>
      </c>
      <c r="J213" s="170">
        <f>+Depreciación!H39</f>
        <v>0</v>
      </c>
      <c r="K213" s="170">
        <f>+Depreciación!I39</f>
        <v>0</v>
      </c>
      <c r="L213" s="170">
        <f>+Depreciación!J39</f>
        <v>0</v>
      </c>
      <c r="M213" s="170">
        <f>+Depreciación!K39</f>
        <v>10.782740624999999</v>
      </c>
      <c r="N213" s="170">
        <f>+Depreciación!L39</f>
        <v>25.173175000000001</v>
      </c>
      <c r="O213" s="170">
        <f>+Depreciación!M39</f>
        <v>25.173175000000001</v>
      </c>
      <c r="P213" s="170">
        <f>+Depreciación!N39</f>
        <v>25.173175000000001</v>
      </c>
    </row>
    <row r="214" spans="2:16" hidden="1" outlineLevel="1" x14ac:dyDescent="0.25">
      <c r="C214" s="4" t="s">
        <v>341</v>
      </c>
      <c r="D214" s="6" t="s">
        <v>322</v>
      </c>
      <c r="E214" s="6" t="s">
        <v>56</v>
      </c>
      <c r="F214" s="67">
        <f t="shared" si="24"/>
        <v>14.025381904761904</v>
      </c>
      <c r="H214" s="170">
        <f>+Depreciación!F40</f>
        <v>0</v>
      </c>
      <c r="I214" s="170">
        <f>+Depreciación!G40</f>
        <v>0</v>
      </c>
      <c r="J214" s="170">
        <f>+Depreciación!H40</f>
        <v>0</v>
      </c>
      <c r="K214" s="170">
        <f>+Depreciación!I40</f>
        <v>0</v>
      </c>
      <c r="L214" s="170">
        <f>+Depreciación!J40</f>
        <v>0</v>
      </c>
      <c r="M214" s="170">
        <f>+Depreciación!K40</f>
        <v>3.2825361904761898</v>
      </c>
      <c r="N214" s="170">
        <f>+Depreciación!L40</f>
        <v>3.5809485714285709</v>
      </c>
      <c r="O214" s="170">
        <f>+Depreciación!M40</f>
        <v>3.5809485714285709</v>
      </c>
      <c r="P214" s="170">
        <f>+Depreciación!N40</f>
        <v>3.5809485714285709</v>
      </c>
    </row>
    <row r="215" spans="2:16" hidden="1" outlineLevel="1" x14ac:dyDescent="0.25">
      <c r="C215" s="4" t="s">
        <v>342</v>
      </c>
      <c r="D215" s="6" t="s">
        <v>322</v>
      </c>
      <c r="E215" s="6" t="s">
        <v>56</v>
      </c>
      <c r="F215" s="67">
        <f t="shared" si="24"/>
        <v>18.822624999999999</v>
      </c>
      <c r="H215" s="170">
        <f>+Depreciación!F41</f>
        <v>0</v>
      </c>
      <c r="I215" s="170">
        <f>+Depreciación!G41</f>
        <v>0</v>
      </c>
      <c r="J215" s="170">
        <f>+Depreciación!H41</f>
        <v>0</v>
      </c>
      <c r="K215" s="170">
        <f>+Depreciación!I41</f>
        <v>0</v>
      </c>
      <c r="L215" s="170">
        <f>+Depreciación!J41</f>
        <v>0</v>
      </c>
      <c r="M215" s="170">
        <f>+Depreciación!K41</f>
        <v>0</v>
      </c>
      <c r="N215" s="170">
        <f>+Depreciación!L41</f>
        <v>4.5353821428571424</v>
      </c>
      <c r="O215" s="170">
        <f>+Depreciación!M41</f>
        <v>7.1436214285714277</v>
      </c>
      <c r="P215" s="170">
        <f>+Depreciación!N41</f>
        <v>7.1436214285714277</v>
      </c>
    </row>
    <row r="216" spans="2:16" hidden="1" outlineLevel="1" x14ac:dyDescent="0.25">
      <c r="C216" s="4" t="s">
        <v>343</v>
      </c>
      <c r="D216" s="6" t="s">
        <v>322</v>
      </c>
      <c r="E216" s="6" t="s">
        <v>56</v>
      </c>
      <c r="F216" s="67">
        <f t="shared" si="24"/>
        <v>5.1224766666666666</v>
      </c>
      <c r="H216" s="170">
        <f>+Depreciación!F42</f>
        <v>0</v>
      </c>
      <c r="I216" s="170">
        <f>+Depreciación!G42</f>
        <v>0</v>
      </c>
      <c r="J216" s="170">
        <f>+Depreciación!H42</f>
        <v>0</v>
      </c>
      <c r="K216" s="170">
        <f>+Depreciación!I42</f>
        <v>0</v>
      </c>
      <c r="L216" s="170">
        <f>+Depreciación!J42</f>
        <v>0</v>
      </c>
      <c r="M216" s="170">
        <f>+Depreciación!K42</f>
        <v>0</v>
      </c>
      <c r="N216" s="170">
        <f>+Depreciación!L42</f>
        <v>0</v>
      </c>
      <c r="O216" s="170">
        <f>+Depreciación!M42</f>
        <v>0</v>
      </c>
      <c r="P216" s="170">
        <f>+Depreciación!N42</f>
        <v>5.1224766666666666</v>
      </c>
    </row>
    <row r="217" spans="2:16" hidden="1" outlineLevel="1" x14ac:dyDescent="0.25">
      <c r="C217" s="223" t="s">
        <v>61</v>
      </c>
      <c r="D217" s="254" t="s">
        <v>322</v>
      </c>
      <c r="E217" s="254" t="s">
        <v>56</v>
      </c>
      <c r="F217" s="255">
        <f t="shared" si="24"/>
        <v>500.21824424992161</v>
      </c>
      <c r="G217" s="223"/>
      <c r="H217" s="268">
        <f>+Depreciación!F43</f>
        <v>8.1567333572723424</v>
      </c>
      <c r="I217" s="268">
        <f>+Depreciación!G43</f>
        <v>77.272829091879046</v>
      </c>
      <c r="J217" s="268">
        <f>+Depreciación!H43</f>
        <v>90.207555432893088</v>
      </c>
      <c r="K217" s="268">
        <f>+Depreciación!I43</f>
        <v>93.141217491973009</v>
      </c>
      <c r="L217" s="268">
        <f>+Depreciación!J43</f>
        <v>91.816037680857008</v>
      </c>
      <c r="M217" s="268">
        <f>+Depreciación!K43</f>
        <v>88.288986752285808</v>
      </c>
      <c r="N217" s="268">
        <f>+Depreciación!L43</f>
        <v>51.334884442761258</v>
      </c>
      <c r="O217" s="268">
        <f>+Depreciación!M43</f>
        <v>0</v>
      </c>
      <c r="P217" s="268">
        <f>+Depreciación!N43</f>
        <v>0</v>
      </c>
    </row>
    <row r="218" spans="2:16" ht="13" hidden="1" outlineLevel="1" x14ac:dyDescent="0.3">
      <c r="B218" s="7"/>
      <c r="C218" s="223" t="s">
        <v>62</v>
      </c>
      <c r="D218" s="254" t="s">
        <v>322</v>
      </c>
      <c r="E218" s="254" t="s">
        <v>56</v>
      </c>
      <c r="F218" s="255">
        <f t="shared" si="24"/>
        <v>2151.6418917526194</v>
      </c>
      <c r="G218" s="223"/>
      <c r="H218" s="268">
        <f>+Depreciación!F44</f>
        <v>17.062549563438957</v>
      </c>
      <c r="I218" s="268">
        <f>+Depreciación!G44</f>
        <v>305.83764955538805</v>
      </c>
      <c r="J218" s="268">
        <f>+Depreciación!H44</f>
        <v>427.05231805559555</v>
      </c>
      <c r="K218" s="268">
        <f>+Depreciación!I44</f>
        <v>629.3520448510551</v>
      </c>
      <c r="L218" s="268">
        <f>+Depreciación!J44</f>
        <v>209.49837094394996</v>
      </c>
      <c r="M218" s="268">
        <f>+Depreciación!K44</f>
        <v>263.50816324244789</v>
      </c>
      <c r="N218" s="268">
        <f>+Depreciación!L44</f>
        <v>179.30583707578083</v>
      </c>
      <c r="O218" s="268">
        <f>+Depreciación!M44</f>
        <v>120.02495846496312</v>
      </c>
      <c r="P218" s="268">
        <f>+Depreciación!N44</f>
        <v>0</v>
      </c>
    </row>
    <row r="219" spans="2:16" hidden="1" outlineLevel="1" x14ac:dyDescent="0.25">
      <c r="C219" s="223" t="s">
        <v>348</v>
      </c>
      <c r="D219" s="254" t="s">
        <v>322</v>
      </c>
      <c r="E219" s="254" t="s">
        <v>56</v>
      </c>
      <c r="F219" s="255">
        <f t="shared" si="24"/>
        <v>39.155748443759627</v>
      </c>
      <c r="G219" s="223"/>
      <c r="H219" s="268">
        <f>+Depreciación!F45</f>
        <v>0.91170323336581127</v>
      </c>
      <c r="I219" s="268">
        <f>+Depreciación!G45</f>
        <v>5.5901667700323809</v>
      </c>
      <c r="J219" s="268">
        <f>+Depreciación!H45</f>
        <v>5.7563183491085184</v>
      </c>
      <c r="K219" s="268">
        <f>+Depreciación!I45</f>
        <v>5.7563183491085184</v>
      </c>
      <c r="L219" s="268">
        <f>+Depreciación!J45</f>
        <v>5.6377266824418522</v>
      </c>
      <c r="M219" s="268">
        <f>+Depreciación!K45</f>
        <v>5.471698349108518</v>
      </c>
      <c r="N219" s="268">
        <f>+Depreciación!L45</f>
        <v>5.471698349108518</v>
      </c>
      <c r="O219" s="268">
        <f>+Depreciación!M45</f>
        <v>4.5601183614855154</v>
      </c>
      <c r="P219" s="268">
        <f>+Depreciación!N45</f>
        <v>0</v>
      </c>
    </row>
    <row r="220" spans="2:16" hidden="1" outlineLevel="1" x14ac:dyDescent="0.25">
      <c r="C220" s="223" t="s">
        <v>349</v>
      </c>
      <c r="D220" s="254" t="s">
        <v>322</v>
      </c>
      <c r="E220" s="254" t="s">
        <v>56</v>
      </c>
      <c r="F220" s="255">
        <f t="shared" si="24"/>
        <v>600.3076799514414</v>
      </c>
      <c r="G220" s="223"/>
      <c r="H220" s="268">
        <f>+Depreciación!F46</f>
        <v>0.64182723108983697</v>
      </c>
      <c r="I220" s="268">
        <f>+Depreciación!G46</f>
        <v>3.8875827653726489</v>
      </c>
      <c r="J220" s="268">
        <f>+Depreciación!H46</f>
        <v>14.487935609335874</v>
      </c>
      <c r="K220" s="268">
        <f>+Depreciación!I46</f>
        <v>98.933594656954924</v>
      </c>
      <c r="L220" s="268">
        <f>+Depreciación!J46</f>
        <v>98.933594656954924</v>
      </c>
      <c r="M220" s="268">
        <f>+Depreciación!K46</f>
        <v>98.295096460304563</v>
      </c>
      <c r="N220" s="268">
        <f>+Depreciación!L46</f>
        <v>95.042682857142879</v>
      </c>
      <c r="O220" s="268">
        <f>+Depreciación!M46</f>
        <v>95.042682857142879</v>
      </c>
      <c r="P220" s="268">
        <f>+Depreciación!N46</f>
        <v>95.042682857142879</v>
      </c>
    </row>
    <row r="221" spans="2:16" hidden="1" outlineLevel="1" x14ac:dyDescent="0.25">
      <c r="C221" s="223" t="s">
        <v>350</v>
      </c>
      <c r="D221" s="254" t="s">
        <v>322</v>
      </c>
      <c r="E221" s="254" t="s">
        <v>56</v>
      </c>
      <c r="F221" s="255">
        <f t="shared" si="24"/>
        <v>333.59928773809526</v>
      </c>
      <c r="G221" s="223"/>
      <c r="H221" s="268">
        <f>+Depreciación!F47</f>
        <v>0</v>
      </c>
      <c r="I221" s="268">
        <f>+Depreciación!G47</f>
        <v>16.215400764386015</v>
      </c>
      <c r="J221" s="268">
        <f>+Depreciación!H47</f>
        <v>25.678925238095239</v>
      </c>
      <c r="K221" s="268">
        <f>+Depreciación!I47</f>
        <v>50.334599801587302</v>
      </c>
      <c r="L221" s="268">
        <f>+Depreciación!J47</f>
        <v>48.66930253968254</v>
      </c>
      <c r="M221" s="268">
        <f>+Depreciación!K47</f>
        <v>52.04269142857143</v>
      </c>
      <c r="N221" s="268">
        <f>+Depreciación!L47</f>
        <v>52.04269142857143</v>
      </c>
      <c r="O221" s="268">
        <f>+Depreciación!M47</f>
        <v>51.767691428571432</v>
      </c>
      <c r="P221" s="268">
        <f>+Depreciación!N47</f>
        <v>36.847985108629871</v>
      </c>
    </row>
    <row r="222" spans="2:16" hidden="1" outlineLevel="1" x14ac:dyDescent="0.25">
      <c r="C222" s="223" t="s">
        <v>351</v>
      </c>
      <c r="D222" s="254" t="s">
        <v>322</v>
      </c>
      <c r="E222" s="254" t="s">
        <v>56</v>
      </c>
      <c r="F222" s="255">
        <f t="shared" si="24"/>
        <v>248.77660063620763</v>
      </c>
      <c r="G222" s="223"/>
      <c r="H222" s="268">
        <f>+Depreciación!F48</f>
        <v>0.42141380193218148</v>
      </c>
      <c r="I222" s="268">
        <f>+Depreciación!G48</f>
        <v>5.3375946169870057</v>
      </c>
      <c r="J222" s="268">
        <f>+Depreciación!H48</f>
        <v>21.914311874646351</v>
      </c>
      <c r="K222" s="268">
        <f>+Depreciación!I48</f>
        <v>32.726524914328891</v>
      </c>
      <c r="L222" s="268">
        <f>+Depreciación!J48</f>
        <v>37.28542705718602</v>
      </c>
      <c r="M222" s="268">
        <f>+Depreciación!K48</f>
        <v>40.118407438138405</v>
      </c>
      <c r="N222" s="268">
        <f>+Depreciación!L48</f>
        <v>40.110863771471742</v>
      </c>
      <c r="O222" s="268">
        <f>+Depreciación!M48</f>
        <v>36.483237938138409</v>
      </c>
      <c r="P222" s="268">
        <f>+Depreciación!N48</f>
        <v>34.378819223378628</v>
      </c>
    </row>
    <row r="223" spans="2:16" hidden="1" outlineLevel="1" x14ac:dyDescent="0.25">
      <c r="C223" s="223" t="s">
        <v>352</v>
      </c>
      <c r="D223" s="254" t="s">
        <v>322</v>
      </c>
      <c r="E223" s="254" t="s">
        <v>56</v>
      </c>
      <c r="F223" s="255">
        <f t="shared" si="24"/>
        <v>218.90020170238097</v>
      </c>
      <c r="G223" s="223"/>
      <c r="H223" s="268">
        <f>+Depreciación!F49</f>
        <v>0</v>
      </c>
      <c r="I223" s="268">
        <f>+Depreciación!G49</f>
        <v>0</v>
      </c>
      <c r="J223" s="268">
        <f>+Depreciación!H49</f>
        <v>17.590806666666666</v>
      </c>
      <c r="K223" s="268">
        <f>+Depreciación!I49</f>
        <v>57.962922083333339</v>
      </c>
      <c r="L223" s="268">
        <f>+Depreciación!J49</f>
        <v>58.471136000000008</v>
      </c>
      <c r="M223" s="268">
        <f>+Depreciación!K49</f>
        <v>84.875336952380948</v>
      </c>
      <c r="N223" s="268">
        <f>+Depreciación!L49</f>
        <v>0</v>
      </c>
      <c r="O223" s="268">
        <f>+Depreciación!M49</f>
        <v>0</v>
      </c>
      <c r="P223" s="268">
        <f>+Depreciación!N49</f>
        <v>0</v>
      </c>
    </row>
    <row r="224" spans="2:16" collapsed="1" x14ac:dyDescent="0.25">
      <c r="H224" s="260"/>
      <c r="I224" s="260"/>
      <c r="J224" s="261"/>
      <c r="K224" s="261"/>
      <c r="L224" s="261"/>
      <c r="M224" s="261"/>
      <c r="N224" s="261"/>
      <c r="O224" s="261"/>
      <c r="P224" s="260"/>
    </row>
    <row r="225" spans="2:16" ht="13" x14ac:dyDescent="0.3">
      <c r="B225" s="7" t="s">
        <v>353</v>
      </c>
      <c r="C225" s="7"/>
      <c r="D225" s="243"/>
      <c r="E225" s="243"/>
      <c r="F225" s="66"/>
      <c r="H225" s="8"/>
      <c r="I225" s="70"/>
      <c r="J225" s="70"/>
      <c r="K225" s="70"/>
      <c r="L225" s="262"/>
      <c r="M225" s="70"/>
      <c r="N225" s="70"/>
      <c r="O225" s="70"/>
      <c r="P225" s="70"/>
    </row>
    <row r="226" spans="2:16" ht="13" hidden="1" outlineLevel="1" x14ac:dyDescent="0.3">
      <c r="B226" s="7"/>
      <c r="C226" s="4" t="s">
        <v>354</v>
      </c>
      <c r="D226" s="6" t="s">
        <v>322</v>
      </c>
      <c r="E226" s="6" t="s">
        <v>56</v>
      </c>
      <c r="F226" s="67">
        <f t="shared" ref="F226:F237" si="25">+SUM(H226:P226)</f>
        <v>11914.090724614627</v>
      </c>
      <c r="H226" s="170">
        <f>Depreciación!F52</f>
        <v>0</v>
      </c>
      <c r="I226" s="170">
        <f>Depreciación!G52</f>
        <v>0</v>
      </c>
      <c r="J226" s="170">
        <f>Depreciación!H52</f>
        <v>0</v>
      </c>
      <c r="K226" s="170">
        <f>Depreciación!I52</f>
        <v>0</v>
      </c>
      <c r="L226" s="170">
        <f>Depreciación!J52</f>
        <v>1543.5022889673094</v>
      </c>
      <c r="M226" s="170">
        <f>Depreciación!K52</f>
        <v>2592.647108911829</v>
      </c>
      <c r="N226" s="170">
        <f>Depreciación!L52</f>
        <v>2592.647108911829</v>
      </c>
      <c r="O226" s="170">
        <f>Depreciación!M52</f>
        <v>2592.647108911829</v>
      </c>
      <c r="P226" s="170">
        <f>Depreciación!N52</f>
        <v>2592.647108911829</v>
      </c>
    </row>
    <row r="227" spans="2:16" ht="13" hidden="1" outlineLevel="1" x14ac:dyDescent="0.3">
      <c r="B227" s="7"/>
      <c r="C227" s="4" t="s">
        <v>355</v>
      </c>
      <c r="D227" s="6" t="s">
        <v>322</v>
      </c>
      <c r="E227" s="6" t="s">
        <v>56</v>
      </c>
      <c r="F227" s="67">
        <f t="shared" si="25"/>
        <v>6919.4172887916538</v>
      </c>
      <c r="H227" s="170">
        <f>Depreciación!F53</f>
        <v>0</v>
      </c>
      <c r="I227" s="170">
        <f>Depreciación!G53</f>
        <v>0</v>
      </c>
      <c r="J227" s="170">
        <f>Depreciación!H53</f>
        <v>0</v>
      </c>
      <c r="K227" s="170">
        <f>Depreciación!I53</f>
        <v>0</v>
      </c>
      <c r="L227" s="170">
        <f>Depreciación!J53</f>
        <v>0</v>
      </c>
      <c r="M227" s="170">
        <f>Depreciación!K53</f>
        <v>0</v>
      </c>
      <c r="N227" s="170">
        <f>Depreciación!L53</f>
        <v>2306.4724295972178</v>
      </c>
      <c r="O227" s="170">
        <f>Depreciación!M53</f>
        <v>2306.4724295972178</v>
      </c>
      <c r="P227" s="170">
        <f>Depreciación!N53</f>
        <v>2306.4724295972178</v>
      </c>
    </row>
    <row r="228" spans="2:16" ht="13" hidden="1" outlineLevel="1" x14ac:dyDescent="0.3">
      <c r="B228" s="7"/>
      <c r="C228" s="4" t="s">
        <v>356</v>
      </c>
      <c r="D228" s="6" t="s">
        <v>322</v>
      </c>
      <c r="E228" s="6" t="s">
        <v>56</v>
      </c>
      <c r="F228" s="67">
        <f t="shared" si="25"/>
        <v>900.64327669949785</v>
      </c>
      <c r="H228" s="170">
        <f>Depreciación!F54</f>
        <v>0</v>
      </c>
      <c r="I228" s="170">
        <f>Depreciación!G54</f>
        <v>0</v>
      </c>
      <c r="J228" s="170">
        <f>Depreciación!H54</f>
        <v>0</v>
      </c>
      <c r="K228" s="170">
        <f>Depreciación!I54</f>
        <v>0</v>
      </c>
      <c r="L228" s="170">
        <f>Depreciación!J54</f>
        <v>114.62732612539064</v>
      </c>
      <c r="M228" s="170">
        <f>Depreciación!K54</f>
        <v>196.50398764352681</v>
      </c>
      <c r="N228" s="170">
        <f>Depreciación!L54</f>
        <v>196.50398764352681</v>
      </c>
      <c r="O228" s="170">
        <f>Depreciación!M54</f>
        <v>196.50398764352681</v>
      </c>
      <c r="P228" s="170">
        <f>Depreciación!N54</f>
        <v>196.50398764352681</v>
      </c>
    </row>
    <row r="229" spans="2:16" ht="13" hidden="1" outlineLevel="1" x14ac:dyDescent="0.3">
      <c r="B229" s="7"/>
      <c r="C229" s="4" t="s">
        <v>357</v>
      </c>
      <c r="D229" s="6" t="s">
        <v>322</v>
      </c>
      <c r="E229" s="6" t="s">
        <v>56</v>
      </c>
      <c r="F229" s="67">
        <f t="shared" si="25"/>
        <v>1390.2893453550992</v>
      </c>
      <c r="H229" s="170">
        <f>Depreciación!F55</f>
        <v>0</v>
      </c>
      <c r="I229" s="170">
        <f>Depreciación!G55</f>
        <v>0</v>
      </c>
      <c r="J229" s="170">
        <f>Depreciación!H55</f>
        <v>0</v>
      </c>
      <c r="K229" s="170">
        <f>Depreciación!I55</f>
        <v>0</v>
      </c>
      <c r="L229" s="170">
        <f>Depreciación!J55</f>
        <v>0</v>
      </c>
      <c r="M229" s="170">
        <f>Depreciación!K55</f>
        <v>0</v>
      </c>
      <c r="N229" s="170">
        <f>Depreciación!L55</f>
        <v>463.42978178503307</v>
      </c>
      <c r="O229" s="170">
        <f>Depreciación!M55</f>
        <v>463.42978178503307</v>
      </c>
      <c r="P229" s="170">
        <f>Depreciación!N55</f>
        <v>463.42978178503307</v>
      </c>
    </row>
    <row r="230" spans="2:16" ht="13" hidden="1" outlineLevel="1" x14ac:dyDescent="0.3">
      <c r="B230" s="7"/>
      <c r="C230" s="4" t="s">
        <v>358</v>
      </c>
      <c r="D230" s="6" t="s">
        <v>322</v>
      </c>
      <c r="E230" s="6" t="s">
        <v>56</v>
      </c>
      <c r="F230" s="67">
        <f t="shared" si="25"/>
        <v>2436.4761153811587</v>
      </c>
      <c r="H230" s="170">
        <f>Depreciación!F56</f>
        <v>0</v>
      </c>
      <c r="I230" s="170">
        <f>Depreciación!G56</f>
        <v>0</v>
      </c>
      <c r="J230" s="170">
        <f>Depreciación!H56</f>
        <v>0</v>
      </c>
      <c r="K230" s="170">
        <f>Depreciación!I56</f>
        <v>0</v>
      </c>
      <c r="L230" s="170">
        <f>Depreciación!J56</f>
        <v>274.99811688253328</v>
      </c>
      <c r="M230" s="170">
        <f>Depreciación!K56</f>
        <v>540.36949962465644</v>
      </c>
      <c r="N230" s="170">
        <f>Depreciación!L56</f>
        <v>540.36949962465644</v>
      </c>
      <c r="O230" s="170">
        <f>Depreciación!M56</f>
        <v>540.36949962465644</v>
      </c>
      <c r="P230" s="170">
        <f>Depreciación!N56</f>
        <v>540.36949962465644</v>
      </c>
    </row>
    <row r="231" spans="2:16" ht="13" hidden="1" outlineLevel="1" x14ac:dyDescent="0.3">
      <c r="B231" s="7"/>
      <c r="C231" s="4" t="s">
        <v>359</v>
      </c>
      <c r="D231" s="6" t="s">
        <v>322</v>
      </c>
      <c r="E231" s="6" t="s">
        <v>56</v>
      </c>
      <c r="F231" s="67">
        <f t="shared" si="25"/>
        <v>6.5664380554308801</v>
      </c>
      <c r="H231" s="170">
        <f>Depreciación!F57</f>
        <v>0</v>
      </c>
      <c r="I231" s="170">
        <f>Depreciación!G57</f>
        <v>0</v>
      </c>
      <c r="J231" s="170">
        <f>Depreciación!H57</f>
        <v>0</v>
      </c>
      <c r="K231" s="170">
        <f>Depreciación!I57</f>
        <v>0</v>
      </c>
      <c r="L231" s="170">
        <f>Depreciación!J57</f>
        <v>0</v>
      </c>
      <c r="M231" s="170">
        <f>Depreciación!K57</f>
        <v>0</v>
      </c>
      <c r="N231" s="170">
        <f>Depreciación!L57</f>
        <v>2.1888126851436267</v>
      </c>
      <c r="O231" s="170">
        <f>Depreciación!M57</f>
        <v>2.1888126851436267</v>
      </c>
      <c r="P231" s="170">
        <f>Depreciación!N57</f>
        <v>2.1888126851436267</v>
      </c>
    </row>
    <row r="232" spans="2:16" ht="13" hidden="1" outlineLevel="1" x14ac:dyDescent="0.3">
      <c r="B232" s="7"/>
      <c r="C232" s="4" t="s">
        <v>360</v>
      </c>
      <c r="D232" s="6" t="s">
        <v>322</v>
      </c>
      <c r="E232" s="6" t="s">
        <v>56</v>
      </c>
      <c r="F232" s="67">
        <f t="shared" si="25"/>
        <v>1248.2636099999997</v>
      </c>
      <c r="H232" s="170">
        <f>Depreciación!F58</f>
        <v>0</v>
      </c>
      <c r="I232" s="170">
        <f>Depreciación!G58</f>
        <v>0</v>
      </c>
      <c r="J232" s="170">
        <f>Depreciación!H58</f>
        <v>0</v>
      </c>
      <c r="K232" s="170">
        <f>Depreciación!I58</f>
        <v>0</v>
      </c>
      <c r="L232" s="170">
        <f>Depreciación!J58</f>
        <v>208.04393499999998</v>
      </c>
      <c r="M232" s="170">
        <f>Depreciación!K58</f>
        <v>416.08786999999995</v>
      </c>
      <c r="N232" s="170">
        <f>Depreciación!L58</f>
        <v>416.08786999999995</v>
      </c>
      <c r="O232" s="170">
        <f>Depreciación!M58</f>
        <v>208.043935</v>
      </c>
      <c r="P232" s="170">
        <f>Depreciación!N58</f>
        <v>0</v>
      </c>
    </row>
    <row r="233" spans="2:16" ht="13" hidden="1" outlineLevel="1" x14ac:dyDescent="0.3">
      <c r="B233" s="7"/>
      <c r="C233" s="4" t="s">
        <v>361</v>
      </c>
      <c r="D233" s="6" t="s">
        <v>322</v>
      </c>
      <c r="E233" s="6" t="s">
        <v>56</v>
      </c>
      <c r="F233" s="67">
        <f t="shared" si="25"/>
        <v>57.419018999999999</v>
      </c>
      <c r="H233" s="170">
        <f>Depreciación!F59</f>
        <v>0</v>
      </c>
      <c r="I233" s="170">
        <f>Depreciación!G59</f>
        <v>0</v>
      </c>
      <c r="J233" s="170">
        <f>Depreciación!H59</f>
        <v>0</v>
      </c>
      <c r="K233" s="170">
        <f>Depreciación!I59</f>
        <v>0</v>
      </c>
      <c r="L233" s="170">
        <f>Depreciación!J59</f>
        <v>6.3798909999999998</v>
      </c>
      <c r="M233" s="170">
        <f>Depreciación!K59</f>
        <v>12.759782</v>
      </c>
      <c r="N233" s="170">
        <f>Depreciación!L59</f>
        <v>12.759782</v>
      </c>
      <c r="O233" s="170">
        <f>Depreciación!M59</f>
        <v>12.759782</v>
      </c>
      <c r="P233" s="170">
        <f>Depreciación!N59</f>
        <v>12.759782</v>
      </c>
    </row>
    <row r="234" spans="2:16" ht="13" hidden="1" outlineLevel="1" x14ac:dyDescent="0.3">
      <c r="B234" s="7"/>
      <c r="C234" s="4" t="s">
        <v>362</v>
      </c>
      <c r="D234" s="6" t="s">
        <v>322</v>
      </c>
      <c r="E234" s="6" t="s">
        <v>56</v>
      </c>
      <c r="F234" s="67">
        <f t="shared" si="25"/>
        <v>211.77118285714289</v>
      </c>
      <c r="H234" s="170">
        <f>Depreciación!F60</f>
        <v>0</v>
      </c>
      <c r="I234" s="170">
        <f>Depreciación!G60</f>
        <v>0</v>
      </c>
      <c r="J234" s="170">
        <f>Depreciación!H60</f>
        <v>0</v>
      </c>
      <c r="K234" s="170">
        <f>Depreciación!I60</f>
        <v>0</v>
      </c>
      <c r="L234" s="170">
        <f>Depreciación!J60</f>
        <v>23.53013142857143</v>
      </c>
      <c r="M234" s="170">
        <f>Depreciación!K60</f>
        <v>47.06026285714286</v>
      </c>
      <c r="N234" s="170">
        <f>Depreciación!L60</f>
        <v>47.06026285714286</v>
      </c>
      <c r="O234" s="170">
        <f>Depreciación!M60</f>
        <v>47.06026285714286</v>
      </c>
      <c r="P234" s="170">
        <f>Depreciación!N60</f>
        <v>47.06026285714286</v>
      </c>
    </row>
    <row r="235" spans="2:16" ht="13" hidden="1" outlineLevel="1" x14ac:dyDescent="0.3">
      <c r="B235" s="7"/>
      <c r="C235" s="4" t="s">
        <v>363</v>
      </c>
      <c r="D235" s="6" t="s">
        <v>322</v>
      </c>
      <c r="E235" s="6" t="s">
        <v>56</v>
      </c>
      <c r="F235" s="67">
        <f t="shared" si="25"/>
        <v>8558.2992759374865</v>
      </c>
      <c r="H235" s="170">
        <f>Depreciación!F61</f>
        <v>0</v>
      </c>
      <c r="I235" s="170">
        <f>Depreciación!G61</f>
        <v>0</v>
      </c>
      <c r="J235" s="170">
        <f>Depreciación!H61</f>
        <v>0</v>
      </c>
      <c r="K235" s="170">
        <f>Depreciación!I61</f>
        <v>0</v>
      </c>
      <c r="L235" s="170">
        <f>Depreciación!J61</f>
        <v>0</v>
      </c>
      <c r="M235" s="170">
        <f>Depreciación!K61</f>
        <v>1860.4998425951062</v>
      </c>
      <c r="N235" s="170">
        <f>Depreciación!L61</f>
        <v>2232.5998111141271</v>
      </c>
      <c r="O235" s="170">
        <f>Depreciación!M61</f>
        <v>2232.5998111141271</v>
      </c>
      <c r="P235" s="170">
        <f>Depreciación!N61</f>
        <v>2232.5998111141271</v>
      </c>
    </row>
    <row r="236" spans="2:16" ht="13" hidden="1" outlineLevel="1" x14ac:dyDescent="0.3">
      <c r="B236" s="7"/>
      <c r="C236" s="4" t="s">
        <v>364</v>
      </c>
      <c r="D236" s="6" t="s">
        <v>322</v>
      </c>
      <c r="E236" s="6" t="s">
        <v>56</v>
      </c>
      <c r="F236" s="67">
        <f t="shared" si="25"/>
        <v>374.97074121330581</v>
      </c>
      <c r="H236" s="170">
        <f>Depreciación!F62</f>
        <v>0</v>
      </c>
      <c r="I236" s="170">
        <f>Depreciación!G62</f>
        <v>0</v>
      </c>
      <c r="J236" s="170">
        <f>Depreciación!H62</f>
        <v>0</v>
      </c>
      <c r="K236" s="170">
        <f>Depreciación!I62</f>
        <v>0</v>
      </c>
      <c r="L236" s="170">
        <f>Depreciación!J62</f>
        <v>0</v>
      </c>
      <c r="M236" s="170">
        <f>Depreciación!K62</f>
        <v>81.5153785246317</v>
      </c>
      <c r="N236" s="170">
        <f>Depreciación!L62</f>
        <v>97.818454229558029</v>
      </c>
      <c r="O236" s="170">
        <f>Depreciación!M62</f>
        <v>97.818454229558029</v>
      </c>
      <c r="P236" s="170">
        <f>Depreciación!N62</f>
        <v>97.818454229558029</v>
      </c>
    </row>
    <row r="237" spans="2:16" ht="13" hidden="1" outlineLevel="1" x14ac:dyDescent="0.3">
      <c r="B237" s="7"/>
      <c r="C237" s="4" t="s">
        <v>365</v>
      </c>
      <c r="D237" s="6" t="s">
        <v>322</v>
      </c>
      <c r="E237" s="6" t="s">
        <v>56</v>
      </c>
      <c r="F237" s="67">
        <f t="shared" si="25"/>
        <v>1070.155991229349</v>
      </c>
      <c r="H237" s="170">
        <f>Depreciación!F63</f>
        <v>0</v>
      </c>
      <c r="I237" s="170">
        <f>Depreciación!G63</f>
        <v>0</v>
      </c>
      <c r="J237" s="170">
        <f>Depreciación!H63</f>
        <v>0</v>
      </c>
      <c r="K237" s="170">
        <f>Depreciación!I63</f>
        <v>0</v>
      </c>
      <c r="L237" s="170">
        <f>Depreciación!J63</f>
        <v>0</v>
      </c>
      <c r="M237" s="170">
        <f>Depreciación!K63</f>
        <v>250.46204050048593</v>
      </c>
      <c r="N237" s="170">
        <f>Depreciación!L63</f>
        <v>273.231316909621</v>
      </c>
      <c r="O237" s="170">
        <f>Depreciación!M63</f>
        <v>273.231316909621</v>
      </c>
      <c r="P237" s="170">
        <f>Depreciación!N63</f>
        <v>273.231316909621</v>
      </c>
    </row>
    <row r="238" spans="2:16" hidden="1" outlineLevel="1" x14ac:dyDescent="0.25">
      <c r="C238" s="4" t="s">
        <v>366</v>
      </c>
      <c r="D238" s="6" t="s">
        <v>322</v>
      </c>
      <c r="E238" s="6" t="s">
        <v>56</v>
      </c>
      <c r="F238" s="67">
        <f t="shared" ref="F238:F242" si="26">+SUM(H238:P238)</f>
        <v>368.77257766666668</v>
      </c>
      <c r="H238" s="170">
        <f>Depreciación!F64</f>
        <v>0</v>
      </c>
      <c r="I238" s="170">
        <f>Depreciación!G64</f>
        <v>0</v>
      </c>
      <c r="J238" s="170">
        <f>Depreciación!H64</f>
        <v>0</v>
      </c>
      <c r="K238" s="170">
        <f>Depreciación!I64</f>
        <v>0</v>
      </c>
      <c r="L238" s="170">
        <f>Depreciación!J64</f>
        <v>0</v>
      </c>
      <c r="M238" s="170">
        <f>Depreciación!K64</f>
        <v>80.167951666666667</v>
      </c>
      <c r="N238" s="170">
        <f>Depreciación!L64</f>
        <v>96.201542000000003</v>
      </c>
      <c r="O238" s="170">
        <f>Depreciación!M64</f>
        <v>96.201542000000003</v>
      </c>
      <c r="P238" s="170">
        <f>Depreciación!N64</f>
        <v>96.201542000000003</v>
      </c>
    </row>
    <row r="239" spans="2:16" hidden="1" outlineLevel="1" x14ac:dyDescent="0.25">
      <c r="C239" s="4" t="s">
        <v>367</v>
      </c>
      <c r="D239" s="6" t="s">
        <v>322</v>
      </c>
      <c r="E239" s="6" t="s">
        <v>56</v>
      </c>
      <c r="F239" s="67">
        <f t="shared" si="26"/>
        <v>2853.4359670831068</v>
      </c>
      <c r="H239" s="170">
        <f>Depreciación!F65</f>
        <v>0</v>
      </c>
      <c r="I239" s="170">
        <f>Depreciación!G65</f>
        <v>0</v>
      </c>
      <c r="J239" s="170">
        <f>Depreciación!H65</f>
        <v>0</v>
      </c>
      <c r="K239" s="170">
        <f>Depreciación!I65</f>
        <v>0</v>
      </c>
      <c r="L239" s="170">
        <f>Depreciación!J65</f>
        <v>0</v>
      </c>
      <c r="M239" s="170">
        <f>Depreciación!K65</f>
        <v>620.31216675719713</v>
      </c>
      <c r="N239" s="170">
        <f>Depreciación!L65</f>
        <v>744.37460010863651</v>
      </c>
      <c r="O239" s="170">
        <f>Depreciación!M65</f>
        <v>744.37460010863651</v>
      </c>
      <c r="P239" s="170">
        <f>Depreciación!N65</f>
        <v>744.37460010863651</v>
      </c>
    </row>
    <row r="240" spans="2:16" hidden="1" outlineLevel="1" x14ac:dyDescent="0.25">
      <c r="C240" s="4" t="s">
        <v>368</v>
      </c>
      <c r="D240" s="6" t="s">
        <v>322</v>
      </c>
      <c r="E240" s="6" t="s">
        <v>56</v>
      </c>
      <c r="F240" s="67">
        <f t="shared" si="26"/>
        <v>2443.9278331249998</v>
      </c>
      <c r="H240" s="170">
        <f>Depreciación!F66</f>
        <v>0</v>
      </c>
      <c r="I240" s="170">
        <f>Depreciación!G66</f>
        <v>0</v>
      </c>
      <c r="J240" s="170">
        <f>Depreciación!H66</f>
        <v>0</v>
      </c>
      <c r="K240" s="170">
        <f>Depreciación!I66</f>
        <v>0</v>
      </c>
      <c r="L240" s="170">
        <f>Depreciación!J66</f>
        <v>0</v>
      </c>
      <c r="M240" s="170">
        <f>Depreciación!K66</f>
        <v>531.28865937500007</v>
      </c>
      <c r="N240" s="170">
        <f>Depreciación!L66</f>
        <v>637.54639124999994</v>
      </c>
      <c r="O240" s="170">
        <f>Depreciación!M66</f>
        <v>637.54639124999994</v>
      </c>
      <c r="P240" s="170">
        <f>Depreciación!N66</f>
        <v>637.54639124999994</v>
      </c>
    </row>
    <row r="241" spans="2:16" hidden="1" outlineLevel="1" x14ac:dyDescent="0.25">
      <c r="C241" s="4" t="s">
        <v>369</v>
      </c>
      <c r="D241" s="6" t="s">
        <v>322</v>
      </c>
      <c r="E241" s="6" t="s">
        <v>56</v>
      </c>
      <c r="F241" s="67">
        <f t="shared" si="26"/>
        <v>238.98137550000001</v>
      </c>
      <c r="H241" s="170">
        <f>Depreciación!F67</f>
        <v>0</v>
      </c>
      <c r="I241" s="170">
        <f>Depreciación!G67</f>
        <v>0</v>
      </c>
      <c r="J241" s="170">
        <f>Depreciación!H67</f>
        <v>0</v>
      </c>
      <c r="K241" s="170">
        <f>Depreciación!I67</f>
        <v>0</v>
      </c>
      <c r="L241" s="170">
        <f>Depreciación!J67</f>
        <v>0</v>
      </c>
      <c r="M241" s="170">
        <f>Depreciación!K67</f>
        <v>0</v>
      </c>
      <c r="N241" s="170">
        <f>Depreciación!L67</f>
        <v>79.660458500000004</v>
      </c>
      <c r="O241" s="170">
        <f>Depreciación!M67</f>
        <v>79.660458500000004</v>
      </c>
      <c r="P241" s="170">
        <f>Depreciación!N67</f>
        <v>79.660458500000004</v>
      </c>
    </row>
    <row r="242" spans="2:16" hidden="1" outlineLevel="1" x14ac:dyDescent="0.25">
      <c r="C242" s="4" t="s">
        <v>370</v>
      </c>
      <c r="D242" s="6" t="s">
        <v>322</v>
      </c>
      <c r="E242" s="6" t="s">
        <v>56</v>
      </c>
      <c r="F242" s="67">
        <f t="shared" si="26"/>
        <v>1307.3031382362838</v>
      </c>
      <c r="H242" s="170">
        <f>Depreciación!F68</f>
        <v>0</v>
      </c>
      <c r="I242" s="170">
        <f>Depreciación!G68</f>
        <v>0</v>
      </c>
      <c r="J242" s="170">
        <f>Depreciación!H68</f>
        <v>0</v>
      </c>
      <c r="K242" s="170">
        <f>Depreciación!I68</f>
        <v>0</v>
      </c>
      <c r="L242" s="170">
        <f>Depreciación!J68</f>
        <v>0</v>
      </c>
      <c r="M242" s="170">
        <f>Depreciación!K68</f>
        <v>0</v>
      </c>
      <c r="N242" s="170">
        <f>Depreciación!L68</f>
        <v>435.76771274542796</v>
      </c>
      <c r="O242" s="170">
        <f>Depreciación!M68</f>
        <v>435.76771274542796</v>
      </c>
      <c r="P242" s="170">
        <f>Depreciación!N68</f>
        <v>435.76771274542796</v>
      </c>
    </row>
    <row r="243" spans="2:16" hidden="1" outlineLevel="1" x14ac:dyDescent="0.25">
      <c r="C243" s="4" t="s">
        <v>371</v>
      </c>
      <c r="D243" s="6" t="s">
        <v>322</v>
      </c>
      <c r="E243" s="6" t="s">
        <v>56</v>
      </c>
      <c r="F243" s="67">
        <f t="shared" ref="F243:F290" si="27">+SUM(H243:P243)</f>
        <v>3571.7643120000002</v>
      </c>
      <c r="H243" s="170">
        <f>Depreciación!F69</f>
        <v>0</v>
      </c>
      <c r="I243" s="170">
        <f>Depreciación!G69</f>
        <v>0</v>
      </c>
      <c r="J243" s="170">
        <f>Depreciación!H69</f>
        <v>0</v>
      </c>
      <c r="K243" s="170">
        <f>Depreciación!I69</f>
        <v>0</v>
      </c>
      <c r="L243" s="170">
        <f>Depreciación!J69</f>
        <v>0</v>
      </c>
      <c r="M243" s="170">
        <f>Depreciación!K69</f>
        <v>0</v>
      </c>
      <c r="N243" s="170">
        <f>Depreciación!L69</f>
        <v>1190.5881040000002</v>
      </c>
      <c r="O243" s="170">
        <f>Depreciación!M69</f>
        <v>1190.5881040000002</v>
      </c>
      <c r="P243" s="170">
        <f>Depreciación!N69</f>
        <v>1190.5881040000002</v>
      </c>
    </row>
    <row r="244" spans="2:16" hidden="1" outlineLevel="1" x14ac:dyDescent="0.25">
      <c r="C244" s="4" t="s">
        <v>372</v>
      </c>
      <c r="D244" s="6" t="s">
        <v>322</v>
      </c>
      <c r="E244" s="6" t="s">
        <v>56</v>
      </c>
      <c r="F244" s="67">
        <f t="shared" si="27"/>
        <v>2057.8237545000002</v>
      </c>
      <c r="H244" s="170">
        <f>Depreciación!F70</f>
        <v>0</v>
      </c>
      <c r="I244" s="170">
        <f>Depreciación!G70</f>
        <v>0</v>
      </c>
      <c r="J244" s="170">
        <f>Depreciación!H70</f>
        <v>0</v>
      </c>
      <c r="K244" s="170">
        <f>Depreciación!I70</f>
        <v>0</v>
      </c>
      <c r="L244" s="170">
        <f>Depreciación!J70</f>
        <v>0</v>
      </c>
      <c r="M244" s="170">
        <f>Depreciación!K70</f>
        <v>0</v>
      </c>
      <c r="N244" s="170">
        <f>Depreciación!L70</f>
        <v>685.94125150000002</v>
      </c>
      <c r="O244" s="170">
        <f>Depreciación!M70</f>
        <v>685.94125150000002</v>
      </c>
      <c r="P244" s="170">
        <f>Depreciación!N70</f>
        <v>685.94125150000002</v>
      </c>
    </row>
    <row r="245" spans="2:16" hidden="1" outlineLevel="1" x14ac:dyDescent="0.25">
      <c r="C245" s="4" t="s">
        <v>373</v>
      </c>
      <c r="D245" s="6" t="s">
        <v>322</v>
      </c>
      <c r="E245" s="6" t="s">
        <v>56</v>
      </c>
      <c r="F245" s="67">
        <f t="shared" si="27"/>
        <v>1541.1088904253716</v>
      </c>
      <c r="H245" s="170">
        <f>Depreciación!F71</f>
        <v>0</v>
      </c>
      <c r="I245" s="170">
        <f>Depreciación!G71</f>
        <v>0</v>
      </c>
      <c r="J245" s="170">
        <f>Depreciación!H71</f>
        <v>0</v>
      </c>
      <c r="K245" s="170">
        <f>Depreciación!I71</f>
        <v>0</v>
      </c>
      <c r="L245" s="170">
        <f>Depreciación!J71</f>
        <v>0</v>
      </c>
      <c r="M245" s="170">
        <f>Depreciación!K71</f>
        <v>0</v>
      </c>
      <c r="N245" s="170">
        <f>Depreciación!L71</f>
        <v>453.26732071334459</v>
      </c>
      <c r="O245" s="170">
        <f>Depreciación!M71</f>
        <v>543.92078485601348</v>
      </c>
      <c r="P245" s="170">
        <f>Depreciación!N71</f>
        <v>543.92078485601348</v>
      </c>
    </row>
    <row r="246" spans="2:16" ht="13" hidden="1" outlineLevel="1" x14ac:dyDescent="0.3">
      <c r="B246" s="7"/>
      <c r="C246" s="4" t="s">
        <v>408</v>
      </c>
      <c r="D246" s="6" t="s">
        <v>322</v>
      </c>
      <c r="E246" s="6" t="s">
        <v>56</v>
      </c>
      <c r="F246" s="67">
        <f t="shared" si="27"/>
        <v>470.79206863001536</v>
      </c>
      <c r="H246" s="170">
        <f>Depreciación!F72</f>
        <v>20.846331409440548</v>
      </c>
      <c r="I246" s="170">
        <f>Depreciación!G72</f>
        <v>56.493643117824497</v>
      </c>
      <c r="J246" s="170">
        <f>Depreciación!H72</f>
        <v>56.207442014678612</v>
      </c>
      <c r="K246" s="170">
        <f>Depreciación!I72</f>
        <v>56.207442014678612</v>
      </c>
      <c r="L246" s="170">
        <f>Depreciación!J72</f>
        <v>56.207442014678612</v>
      </c>
      <c r="M246" s="170">
        <f>Depreciación!K72</f>
        <v>56.207442014678612</v>
      </c>
      <c r="N246" s="170">
        <f>Depreciación!L72</f>
        <v>56.207442014678612</v>
      </c>
      <c r="O246" s="170">
        <f>Depreciación!M72</f>
        <v>56.207442014678612</v>
      </c>
      <c r="P246" s="170">
        <f>Depreciación!N72</f>
        <v>56.207442014678612</v>
      </c>
    </row>
    <row r="247" spans="2:16" ht="13" hidden="1" outlineLevel="1" x14ac:dyDescent="0.3">
      <c r="B247" s="7"/>
      <c r="C247" s="4" t="s">
        <v>409</v>
      </c>
      <c r="D247" s="6" t="s">
        <v>322</v>
      </c>
      <c r="E247" s="6" t="s">
        <v>56</v>
      </c>
      <c r="F247" s="67">
        <f t="shared" si="27"/>
        <v>377.14987684820022</v>
      </c>
      <c r="H247" s="170">
        <f>Depreciación!F73</f>
        <v>14.634713275474645</v>
      </c>
      <c r="I247" s="170">
        <f>Depreciación!G73</f>
        <v>53.273071596214535</v>
      </c>
      <c r="J247" s="170">
        <f>Depreciación!H73</f>
        <v>45.21423418047641</v>
      </c>
      <c r="K247" s="170">
        <f>Depreciación!I73</f>
        <v>44.0301271177646</v>
      </c>
      <c r="L247" s="170">
        <f>Depreciación!J73</f>
        <v>43.999546135654008</v>
      </c>
      <c r="M247" s="170">
        <f>Depreciación!K73</f>
        <v>43.999546135654008</v>
      </c>
      <c r="N247" s="170">
        <f>Depreciación!L73</f>
        <v>43.999546135654008</v>
      </c>
      <c r="O247" s="170">
        <f>Depreciación!M73</f>
        <v>43.999546135654008</v>
      </c>
      <c r="P247" s="170">
        <f>Depreciación!N73</f>
        <v>43.999546135654008</v>
      </c>
    </row>
    <row r="248" spans="2:16" ht="13" hidden="1" outlineLevel="1" x14ac:dyDescent="0.3">
      <c r="B248" s="7"/>
      <c r="C248" s="4" t="s">
        <v>410</v>
      </c>
      <c r="D248" s="6" t="s">
        <v>322</v>
      </c>
      <c r="E248" s="6" t="s">
        <v>56</v>
      </c>
      <c r="F248" s="67">
        <f t="shared" si="27"/>
        <v>9.46875</v>
      </c>
      <c r="H248" s="170">
        <f>Depreciación!F74</f>
        <v>1.0520833333333333</v>
      </c>
      <c r="I248" s="170">
        <f>Depreciación!G74</f>
        <v>3.15625</v>
      </c>
      <c r="J248" s="170">
        <f>Depreciación!H74</f>
        <v>3.15625</v>
      </c>
      <c r="K248" s="170">
        <f>Depreciación!I74</f>
        <v>2.1041666666666661</v>
      </c>
      <c r="L248" s="170">
        <f>Depreciación!J74</f>
        <v>0</v>
      </c>
      <c r="M248" s="170">
        <f>Depreciación!K74</f>
        <v>0</v>
      </c>
      <c r="N248" s="170">
        <f>Depreciación!L74</f>
        <v>0</v>
      </c>
      <c r="O248" s="170">
        <f>Depreciación!M74</f>
        <v>0</v>
      </c>
      <c r="P248" s="170">
        <f>Depreciación!N74</f>
        <v>0</v>
      </c>
    </row>
    <row r="249" spans="2:16" ht="13" hidden="1" outlineLevel="1" x14ac:dyDescent="0.3">
      <c r="B249" s="7"/>
      <c r="C249" s="4" t="s">
        <v>411</v>
      </c>
      <c r="D249" s="6" t="s">
        <v>322</v>
      </c>
      <c r="E249" s="6" t="s">
        <v>56</v>
      </c>
      <c r="F249" s="67">
        <f t="shared" si="27"/>
        <v>4539.8576541666653</v>
      </c>
      <c r="H249" s="170">
        <f>Depreciación!F75</f>
        <v>0</v>
      </c>
      <c r="I249" s="170">
        <f>Depreciación!G75</f>
        <v>42.995571388888884</v>
      </c>
      <c r="J249" s="170">
        <f>Depreciación!H75</f>
        <v>176.77431968983691</v>
      </c>
      <c r="K249" s="170">
        <f>Depreciación!I75</f>
        <v>330.16175888888881</v>
      </c>
      <c r="L249" s="170">
        <f>Depreciación!J75</f>
        <v>352.43551388888875</v>
      </c>
      <c r="M249" s="170">
        <f>Depreciación!K75</f>
        <v>896.23771003238505</v>
      </c>
      <c r="N249" s="170">
        <f>Depreciación!L75</f>
        <v>1149.9698416666663</v>
      </c>
      <c r="O249" s="170">
        <f>Depreciación!M75</f>
        <v>1074.3332322222225</v>
      </c>
      <c r="P249" s="170">
        <f>Depreciación!N75</f>
        <v>516.94970638888856</v>
      </c>
    </row>
    <row r="250" spans="2:16" ht="13" hidden="1" outlineLevel="1" x14ac:dyDescent="0.3">
      <c r="B250" s="7"/>
      <c r="C250" s="4" t="s">
        <v>129</v>
      </c>
      <c r="D250" s="6" t="s">
        <v>322</v>
      </c>
      <c r="E250" s="6" t="s">
        <v>56</v>
      </c>
      <c r="F250" s="67">
        <f t="shared" si="27"/>
        <v>106.35155861111112</v>
      </c>
      <c r="H250" s="170">
        <f>Depreciación!F76</f>
        <v>0</v>
      </c>
      <c r="I250" s="170">
        <f>Depreciación!G76</f>
        <v>0</v>
      </c>
      <c r="J250" s="170">
        <f>Depreciación!H76</f>
        <v>0</v>
      </c>
      <c r="K250" s="170">
        <f>Depreciación!I76</f>
        <v>32.830472777777771</v>
      </c>
      <c r="L250" s="170">
        <f>Depreciación!J76</f>
        <v>36.375346666666665</v>
      </c>
      <c r="M250" s="170">
        <f>Depreciación!K76</f>
        <v>36.375346666666665</v>
      </c>
      <c r="N250" s="170">
        <f>Depreciación!L76</f>
        <v>0.77039249999999992</v>
      </c>
      <c r="O250" s="170">
        <f>Depreciación!M76</f>
        <v>0</v>
      </c>
      <c r="P250" s="170">
        <f>Depreciación!N76</f>
        <v>0</v>
      </c>
    </row>
    <row r="251" spans="2:16" ht="13" hidden="1" outlineLevel="1" x14ac:dyDescent="0.3">
      <c r="B251" s="7"/>
      <c r="C251" s="4" t="s">
        <v>412</v>
      </c>
      <c r="D251" s="6" t="s">
        <v>322</v>
      </c>
      <c r="E251" s="6" t="s">
        <v>56</v>
      </c>
      <c r="F251" s="67">
        <f t="shared" si="27"/>
        <v>883.05618336904752</v>
      </c>
      <c r="H251" s="170">
        <f>Depreciación!F77</f>
        <v>0</v>
      </c>
      <c r="I251" s="170">
        <f>Depreciación!G77</f>
        <v>0</v>
      </c>
      <c r="J251" s="170">
        <f>Depreciación!H77</f>
        <v>0</v>
      </c>
      <c r="K251" s="170">
        <f>Depreciación!I77</f>
        <v>0</v>
      </c>
      <c r="L251" s="170">
        <f>Depreciación!J77</f>
        <v>95.981105541666665</v>
      </c>
      <c r="M251" s="170">
        <f>Depreciación!K77</f>
        <v>184.36136794642857</v>
      </c>
      <c r="N251" s="170">
        <f>Depreciación!L77</f>
        <v>186.62124357142855</v>
      </c>
      <c r="O251" s="170">
        <f>Depreciación!M77</f>
        <v>203.7612352380952</v>
      </c>
      <c r="P251" s="170">
        <f>Depreciación!N77</f>
        <v>212.33123107142853</v>
      </c>
    </row>
    <row r="252" spans="2:16" ht="13" hidden="1" outlineLevel="1" x14ac:dyDescent="0.3">
      <c r="B252" s="7"/>
      <c r="C252" s="4" t="s">
        <v>413</v>
      </c>
      <c r="D252" s="6" t="s">
        <v>322</v>
      </c>
      <c r="E252" s="6" t="s">
        <v>56</v>
      </c>
      <c r="F252" s="67">
        <f t="shared" si="27"/>
        <v>676.13980504376116</v>
      </c>
      <c r="H252" s="170">
        <f>Depreciación!F78</f>
        <v>0</v>
      </c>
      <c r="I252" s="170">
        <f>Depreciación!G78</f>
        <v>0</v>
      </c>
      <c r="J252" s="170">
        <f>Depreciación!H78</f>
        <v>0</v>
      </c>
      <c r="K252" s="170">
        <f>Depreciación!I78</f>
        <v>0</v>
      </c>
      <c r="L252" s="170">
        <f>Depreciación!J78</f>
        <v>0</v>
      </c>
      <c r="M252" s="170">
        <f>Depreciación!K78</f>
        <v>0</v>
      </c>
      <c r="N252" s="170">
        <f>Depreciación!L78</f>
        <v>225.37993501458706</v>
      </c>
      <c r="O252" s="170">
        <f>Depreciación!M78</f>
        <v>225.37993501458706</v>
      </c>
      <c r="P252" s="170">
        <f>Depreciación!N78</f>
        <v>225.37993501458706</v>
      </c>
    </row>
    <row r="253" spans="2:16" ht="13" hidden="1" outlineLevel="1" x14ac:dyDescent="0.3">
      <c r="B253" s="7"/>
      <c r="C253" s="4" t="s">
        <v>414</v>
      </c>
      <c r="D253" s="6" t="s">
        <v>322</v>
      </c>
      <c r="E253" s="6" t="s">
        <v>56</v>
      </c>
      <c r="F253" s="67">
        <f t="shared" si="27"/>
        <v>28.609492089317776</v>
      </c>
      <c r="H253" s="170">
        <f>Depreciación!F79</f>
        <v>0</v>
      </c>
      <c r="I253" s="170">
        <f>Depreciación!G79</f>
        <v>0</v>
      </c>
      <c r="J253" s="170">
        <f>Depreciación!H79</f>
        <v>0</v>
      </c>
      <c r="K253" s="170">
        <f>Depreciación!I79</f>
        <v>0</v>
      </c>
      <c r="L253" s="170">
        <f>Depreciación!J79</f>
        <v>0</v>
      </c>
      <c r="M253" s="170">
        <f>Depreciación!K79</f>
        <v>0</v>
      </c>
      <c r="N253" s="170">
        <f>Depreciación!L79</f>
        <v>9.5364973631059247</v>
      </c>
      <c r="O253" s="170">
        <f>Depreciación!M79</f>
        <v>9.5364973631059247</v>
      </c>
      <c r="P253" s="170">
        <f>Depreciación!N79</f>
        <v>9.5364973631059247</v>
      </c>
    </row>
    <row r="254" spans="2:16" ht="13" hidden="1" outlineLevel="1" x14ac:dyDescent="0.3">
      <c r="B254" s="7"/>
      <c r="C254" s="4" t="s">
        <v>415</v>
      </c>
      <c r="D254" s="6" t="s">
        <v>322</v>
      </c>
      <c r="E254" s="6" t="s">
        <v>56</v>
      </c>
      <c r="F254" s="67">
        <f t="shared" si="27"/>
        <v>292.6516032259874</v>
      </c>
      <c r="H254" s="170">
        <f>Depreciación!F80</f>
        <v>0</v>
      </c>
      <c r="I254" s="170">
        <f>Depreciación!G80</f>
        <v>0</v>
      </c>
      <c r="J254" s="170">
        <f>Depreciación!H80</f>
        <v>0</v>
      </c>
      <c r="K254" s="170">
        <f>Depreciación!I80</f>
        <v>0</v>
      </c>
      <c r="L254" s="170">
        <f>Depreciación!J80</f>
        <v>0</v>
      </c>
      <c r="M254" s="170">
        <f>Depreciación!K80</f>
        <v>0</v>
      </c>
      <c r="N254" s="170">
        <f>Depreciación!L80</f>
        <v>97.550534408662472</v>
      </c>
      <c r="O254" s="170">
        <f>Depreciación!M80</f>
        <v>97.550534408662472</v>
      </c>
      <c r="P254" s="170">
        <f>Depreciación!N80</f>
        <v>97.550534408662472</v>
      </c>
    </row>
    <row r="255" spans="2:16" ht="13" hidden="1" outlineLevel="1" x14ac:dyDescent="0.3">
      <c r="B255" s="7"/>
      <c r="C255" s="4" t="s">
        <v>416</v>
      </c>
      <c r="D255" s="6" t="s">
        <v>322</v>
      </c>
      <c r="E255" s="6" t="s">
        <v>56</v>
      </c>
      <c r="F255" s="67">
        <f t="shared" si="27"/>
        <v>44.653383679308796</v>
      </c>
      <c r="H255" s="170">
        <f>Depreciación!F81</f>
        <v>0</v>
      </c>
      <c r="I255" s="170">
        <f>Depreciación!G81</f>
        <v>0</v>
      </c>
      <c r="J255" s="170">
        <f>Depreciación!H81</f>
        <v>0</v>
      </c>
      <c r="K255" s="170">
        <f>Depreciación!I81</f>
        <v>0</v>
      </c>
      <c r="L255" s="170">
        <f>Depreciación!J81</f>
        <v>0</v>
      </c>
      <c r="M255" s="170">
        <f>Depreciación!K81</f>
        <v>0</v>
      </c>
      <c r="N255" s="170">
        <f>Depreciación!L81</f>
        <v>14.884461226436265</v>
      </c>
      <c r="O255" s="170">
        <f>Depreciación!M81</f>
        <v>14.884461226436265</v>
      </c>
      <c r="P255" s="170">
        <f>Depreciación!N81</f>
        <v>14.884461226436265</v>
      </c>
    </row>
    <row r="256" spans="2:16" ht="13" hidden="1" outlineLevel="1" x14ac:dyDescent="0.3">
      <c r="B256" s="7"/>
      <c r="C256" s="4" t="s">
        <v>417</v>
      </c>
      <c r="D256" s="6" t="s">
        <v>322</v>
      </c>
      <c r="E256" s="6" t="s">
        <v>56</v>
      </c>
      <c r="F256" s="67">
        <f t="shared" si="27"/>
        <v>0.79889375000000007</v>
      </c>
      <c r="H256" s="170">
        <f>Depreciación!F82</f>
        <v>0</v>
      </c>
      <c r="I256" s="170">
        <f>Depreciación!G82</f>
        <v>0</v>
      </c>
      <c r="J256" s="170">
        <f>Depreciación!H82</f>
        <v>0</v>
      </c>
      <c r="K256" s="170">
        <f>Depreciación!I82</f>
        <v>0</v>
      </c>
      <c r="L256" s="170">
        <f>Depreciación!J82</f>
        <v>0</v>
      </c>
      <c r="M256" s="170">
        <f>Depreciación!K82</f>
        <v>0.15977875</v>
      </c>
      <c r="N256" s="170">
        <f>Depreciación!L82</f>
        <v>0.21303833333333336</v>
      </c>
      <c r="O256" s="170">
        <f>Depreciación!M82</f>
        <v>0.21303833333333336</v>
      </c>
      <c r="P256" s="170">
        <f>Depreciación!N82</f>
        <v>0.21303833333333336</v>
      </c>
    </row>
    <row r="257" spans="3:16" hidden="1" outlineLevel="1" x14ac:dyDescent="0.25">
      <c r="C257" s="4" t="s">
        <v>418</v>
      </c>
      <c r="D257" s="6" t="s">
        <v>322</v>
      </c>
      <c r="E257" s="6" t="s">
        <v>56</v>
      </c>
      <c r="F257" s="67">
        <f t="shared" si="27"/>
        <v>35.82165700179533</v>
      </c>
      <c r="H257" s="170">
        <f>Depreciación!F83</f>
        <v>0</v>
      </c>
      <c r="I257" s="170">
        <f>Depreciación!G83</f>
        <v>0</v>
      </c>
      <c r="J257" s="170">
        <f>Depreciación!H83</f>
        <v>0</v>
      </c>
      <c r="K257" s="170">
        <f>Depreciación!I83</f>
        <v>0</v>
      </c>
      <c r="L257" s="170">
        <f>Depreciación!J83</f>
        <v>0</v>
      </c>
      <c r="M257" s="170">
        <f>Depreciación!K83</f>
        <v>0</v>
      </c>
      <c r="N257" s="170">
        <f>Depreciación!L83</f>
        <v>11.940552333931777</v>
      </c>
      <c r="O257" s="170">
        <f>Depreciación!M83</f>
        <v>11.940552333931777</v>
      </c>
      <c r="P257" s="170">
        <f>Depreciación!N83</f>
        <v>11.940552333931777</v>
      </c>
    </row>
    <row r="258" spans="3:16" hidden="1" outlineLevel="1" x14ac:dyDescent="0.25">
      <c r="C258" s="4" t="s">
        <v>419</v>
      </c>
      <c r="D258" s="6" t="s">
        <v>322</v>
      </c>
      <c r="E258" s="6" t="s">
        <v>56</v>
      </c>
      <c r="F258" s="67">
        <f t="shared" si="27"/>
        <v>154.90413199618493</v>
      </c>
      <c r="H258" s="170">
        <f>Depreciación!F84</f>
        <v>0</v>
      </c>
      <c r="I258" s="170">
        <f>Depreciación!G84</f>
        <v>0</v>
      </c>
      <c r="J258" s="170">
        <f>Depreciación!H84</f>
        <v>0</v>
      </c>
      <c r="K258" s="170">
        <f>Depreciación!I84</f>
        <v>0</v>
      </c>
      <c r="L258" s="170">
        <f>Depreciación!J84</f>
        <v>0</v>
      </c>
      <c r="M258" s="170">
        <f>Depreciación!K84</f>
        <v>0</v>
      </c>
      <c r="N258" s="170">
        <f>Depreciación!L84</f>
        <v>51.634710665394977</v>
      </c>
      <c r="O258" s="170">
        <f>Depreciación!M84</f>
        <v>51.634710665394977</v>
      </c>
      <c r="P258" s="170">
        <f>Depreciación!N84</f>
        <v>51.634710665394977</v>
      </c>
    </row>
    <row r="259" spans="3:16" hidden="1" outlineLevel="1" x14ac:dyDescent="0.25">
      <c r="C259" s="4" t="s">
        <v>420</v>
      </c>
      <c r="D259" s="6" t="s">
        <v>322</v>
      </c>
      <c r="E259" s="6" t="s">
        <v>56</v>
      </c>
      <c r="F259" s="67">
        <f t="shared" si="27"/>
        <v>3.0717010771992816</v>
      </c>
      <c r="H259" s="170">
        <f>Depreciación!F85</f>
        <v>0</v>
      </c>
      <c r="I259" s="170">
        <f>Depreciación!G85</f>
        <v>0</v>
      </c>
      <c r="J259" s="170">
        <f>Depreciación!H85</f>
        <v>0</v>
      </c>
      <c r="K259" s="170">
        <f>Depreciación!I85</f>
        <v>0</v>
      </c>
      <c r="L259" s="170">
        <f>Depreciación!J85</f>
        <v>0</v>
      </c>
      <c r="M259" s="170">
        <f>Depreciación!K85</f>
        <v>0</v>
      </c>
      <c r="N259" s="170">
        <f>Depreciación!L85</f>
        <v>1.0239003590664273</v>
      </c>
      <c r="O259" s="170">
        <f>Depreciación!M85</f>
        <v>1.0239003590664273</v>
      </c>
      <c r="P259" s="170">
        <f>Depreciación!N85</f>
        <v>1.0239003590664273</v>
      </c>
    </row>
    <row r="260" spans="3:16" hidden="1" outlineLevel="1" x14ac:dyDescent="0.25">
      <c r="C260" s="4" t="s">
        <v>421</v>
      </c>
      <c r="D260" s="6" t="s">
        <v>322</v>
      </c>
      <c r="E260" s="6" t="s">
        <v>56</v>
      </c>
      <c r="F260" s="67">
        <f t="shared" si="27"/>
        <v>6.629259257181328</v>
      </c>
      <c r="H260" s="170">
        <f>Depreciación!F86</f>
        <v>0</v>
      </c>
      <c r="I260" s="170">
        <f>Depreciación!G86</f>
        <v>0</v>
      </c>
      <c r="J260" s="170">
        <f>Depreciación!H86</f>
        <v>0</v>
      </c>
      <c r="K260" s="170">
        <f>Depreciación!I86</f>
        <v>0</v>
      </c>
      <c r="L260" s="170">
        <f>Depreciación!J86</f>
        <v>0</v>
      </c>
      <c r="M260" s="170">
        <f>Depreciación!K86</f>
        <v>0</v>
      </c>
      <c r="N260" s="170">
        <f>Depreciación!L86</f>
        <v>2.2097530857271095</v>
      </c>
      <c r="O260" s="170">
        <f>Depreciación!M86</f>
        <v>2.2097530857271095</v>
      </c>
      <c r="P260" s="170">
        <f>Depreciación!N86</f>
        <v>2.2097530857271095</v>
      </c>
    </row>
    <row r="261" spans="3:16" hidden="1" outlineLevel="1" x14ac:dyDescent="0.25">
      <c r="C261" s="4" t="s">
        <v>422</v>
      </c>
      <c r="D261" s="6" t="s">
        <v>322</v>
      </c>
      <c r="E261" s="6" t="s">
        <v>56</v>
      </c>
      <c r="F261" s="67">
        <f t="shared" si="27"/>
        <v>301.06189374438958</v>
      </c>
      <c r="H261" s="170">
        <f>Depreciación!F87</f>
        <v>0</v>
      </c>
      <c r="I261" s="170">
        <f>Depreciación!G87</f>
        <v>0</v>
      </c>
      <c r="J261" s="170">
        <f>Depreciación!H87</f>
        <v>0</v>
      </c>
      <c r="K261" s="170">
        <f>Depreciación!I87</f>
        <v>0</v>
      </c>
      <c r="L261" s="170">
        <f>Depreciación!J87</f>
        <v>0</v>
      </c>
      <c r="M261" s="170">
        <f>Depreciación!K87</f>
        <v>0</v>
      </c>
      <c r="N261" s="170">
        <f>Depreciación!L87</f>
        <v>100.35396458146319</v>
      </c>
      <c r="O261" s="170">
        <f>Depreciación!M87</f>
        <v>100.35396458146319</v>
      </c>
      <c r="P261" s="170">
        <f>Depreciación!N87</f>
        <v>100.35396458146319</v>
      </c>
    </row>
    <row r="262" spans="3:16" hidden="1" outlineLevel="1" x14ac:dyDescent="0.25">
      <c r="C262" s="4" t="s">
        <v>423</v>
      </c>
      <c r="D262" s="6" t="s">
        <v>322</v>
      </c>
      <c r="E262" s="6" t="s">
        <v>56</v>
      </c>
      <c r="F262" s="67">
        <f t="shared" si="27"/>
        <v>452.44761700516153</v>
      </c>
      <c r="H262" s="170">
        <f>Depreciación!F88</f>
        <v>0</v>
      </c>
      <c r="I262" s="170">
        <f>Depreciación!G88</f>
        <v>0</v>
      </c>
      <c r="J262" s="170">
        <f>Depreciación!H88</f>
        <v>0</v>
      </c>
      <c r="K262" s="170">
        <f>Depreciación!I88</f>
        <v>0</v>
      </c>
      <c r="L262" s="170">
        <f>Depreciación!J88</f>
        <v>0</v>
      </c>
      <c r="M262" s="170">
        <f>Depreciación!K88</f>
        <v>0</v>
      </c>
      <c r="N262" s="170">
        <f>Depreciación!L88</f>
        <v>150.81587233505385</v>
      </c>
      <c r="O262" s="170">
        <f>Depreciación!M88</f>
        <v>150.81587233505385</v>
      </c>
      <c r="P262" s="170">
        <f>Depreciación!N88</f>
        <v>150.81587233505385</v>
      </c>
    </row>
    <row r="263" spans="3:16" hidden="1" outlineLevel="1" x14ac:dyDescent="0.25">
      <c r="C263" s="4" t="s">
        <v>424</v>
      </c>
      <c r="D263" s="6" t="s">
        <v>322</v>
      </c>
      <c r="E263" s="6" t="s">
        <v>56</v>
      </c>
      <c r="F263" s="67">
        <f t="shared" si="27"/>
        <v>218.03081933348292</v>
      </c>
      <c r="H263" s="170">
        <f>Depreciación!F89</f>
        <v>0</v>
      </c>
      <c r="I263" s="170">
        <f>Depreciación!G89</f>
        <v>0</v>
      </c>
      <c r="J263" s="170">
        <f>Depreciación!H89</f>
        <v>0</v>
      </c>
      <c r="K263" s="170">
        <f>Depreciación!I89</f>
        <v>0</v>
      </c>
      <c r="L263" s="170">
        <f>Depreciación!J89</f>
        <v>0</v>
      </c>
      <c r="M263" s="170">
        <f>Depreciación!K89</f>
        <v>0</v>
      </c>
      <c r="N263" s="170">
        <f>Depreciación!L89</f>
        <v>72.676939777827641</v>
      </c>
      <c r="O263" s="170">
        <f>Depreciación!M89</f>
        <v>72.676939777827641</v>
      </c>
      <c r="P263" s="170">
        <f>Depreciación!N89</f>
        <v>72.676939777827641</v>
      </c>
    </row>
    <row r="264" spans="3:16" hidden="1" outlineLevel="1" x14ac:dyDescent="0.25">
      <c r="C264" s="4" t="s">
        <v>425</v>
      </c>
      <c r="D264" s="6" t="s">
        <v>322</v>
      </c>
      <c r="E264" s="6" t="s">
        <v>56</v>
      </c>
      <c r="F264" s="67">
        <f t="shared" si="27"/>
        <v>12.155148743267503</v>
      </c>
      <c r="H264" s="170">
        <f>Depreciación!F90</f>
        <v>0</v>
      </c>
      <c r="I264" s="170">
        <f>Depreciación!G90</f>
        <v>0</v>
      </c>
      <c r="J264" s="170">
        <f>Depreciación!H90</f>
        <v>0</v>
      </c>
      <c r="K264" s="170">
        <f>Depreciación!I90</f>
        <v>0</v>
      </c>
      <c r="L264" s="170">
        <f>Depreciación!J90</f>
        <v>0</v>
      </c>
      <c r="M264" s="170">
        <f>Depreciación!K90</f>
        <v>0</v>
      </c>
      <c r="N264" s="170">
        <f>Depreciación!L90</f>
        <v>4.0517162477558344</v>
      </c>
      <c r="O264" s="170">
        <f>Depreciación!M90</f>
        <v>4.0517162477558344</v>
      </c>
      <c r="P264" s="170">
        <f>Depreciación!N90</f>
        <v>4.0517162477558344</v>
      </c>
    </row>
    <row r="265" spans="3:16" hidden="1" outlineLevel="1" x14ac:dyDescent="0.25">
      <c r="C265" s="4" t="s">
        <v>426</v>
      </c>
      <c r="D265" s="6" t="s">
        <v>322</v>
      </c>
      <c r="E265" s="6" t="s">
        <v>56</v>
      </c>
      <c r="F265" s="67">
        <f t="shared" si="27"/>
        <v>135.07037807450627</v>
      </c>
      <c r="H265" s="170">
        <f>Depreciación!F91</f>
        <v>0</v>
      </c>
      <c r="I265" s="170">
        <f>Depreciación!G91</f>
        <v>0</v>
      </c>
      <c r="J265" s="170">
        <f>Depreciación!H91</f>
        <v>0</v>
      </c>
      <c r="K265" s="170">
        <f>Depreciación!I91</f>
        <v>0</v>
      </c>
      <c r="L265" s="170">
        <f>Depreciación!J91</f>
        <v>0</v>
      </c>
      <c r="M265" s="170">
        <f>Depreciación!K91</f>
        <v>0</v>
      </c>
      <c r="N265" s="170">
        <f>Depreciación!L91</f>
        <v>45.023459358168758</v>
      </c>
      <c r="O265" s="170">
        <f>Depreciación!M91</f>
        <v>45.023459358168758</v>
      </c>
      <c r="P265" s="170">
        <f>Depreciación!N91</f>
        <v>45.023459358168758</v>
      </c>
    </row>
    <row r="266" spans="3:16" hidden="1" outlineLevel="1" x14ac:dyDescent="0.25">
      <c r="C266" s="4" t="s">
        <v>427</v>
      </c>
      <c r="D266" s="6" t="s">
        <v>322</v>
      </c>
      <c r="E266" s="6" t="s">
        <v>56</v>
      </c>
      <c r="F266" s="67">
        <f t="shared" si="27"/>
        <v>125.6353385884201</v>
      </c>
      <c r="H266" s="170">
        <f>Depreciación!F92</f>
        <v>0</v>
      </c>
      <c r="I266" s="170">
        <f>Depreciación!G92</f>
        <v>0</v>
      </c>
      <c r="J266" s="170">
        <f>Depreciación!H92</f>
        <v>0</v>
      </c>
      <c r="K266" s="170">
        <f>Depreciación!I92</f>
        <v>0</v>
      </c>
      <c r="L266" s="170">
        <f>Depreciación!J92</f>
        <v>0</v>
      </c>
      <c r="M266" s="170">
        <f>Depreciación!K92</f>
        <v>0</v>
      </c>
      <c r="N266" s="170">
        <f>Depreciación!L92</f>
        <v>41.878446196140032</v>
      </c>
      <c r="O266" s="170">
        <f>Depreciación!M92</f>
        <v>41.878446196140032</v>
      </c>
      <c r="P266" s="170">
        <f>Depreciación!N92</f>
        <v>41.878446196140032</v>
      </c>
    </row>
    <row r="267" spans="3:16" hidden="1" outlineLevel="1" x14ac:dyDescent="0.25">
      <c r="C267" s="4" t="s">
        <v>428</v>
      </c>
      <c r="D267" s="6" t="s">
        <v>322</v>
      </c>
      <c r="E267" s="6" t="s">
        <v>56</v>
      </c>
      <c r="F267" s="67">
        <f t="shared" si="27"/>
        <v>102.49207494950625</v>
      </c>
      <c r="H267" s="170">
        <f>Depreciación!F93</f>
        <v>0</v>
      </c>
      <c r="I267" s="170">
        <f>Depreciación!G93</f>
        <v>0</v>
      </c>
      <c r="J267" s="170">
        <f>Depreciación!H93</f>
        <v>0</v>
      </c>
      <c r="K267" s="170">
        <f>Depreciación!I93</f>
        <v>0</v>
      </c>
      <c r="L267" s="170">
        <f>Depreciación!J93</f>
        <v>0</v>
      </c>
      <c r="M267" s="170">
        <f>Depreciación!K93</f>
        <v>0</v>
      </c>
      <c r="N267" s="170">
        <f>Depreciación!L93</f>
        <v>34.164024983168751</v>
      </c>
      <c r="O267" s="170">
        <f>Depreciación!M93</f>
        <v>34.164024983168751</v>
      </c>
      <c r="P267" s="170">
        <f>Depreciación!N93</f>
        <v>34.164024983168751</v>
      </c>
    </row>
    <row r="268" spans="3:16" hidden="1" outlineLevel="1" x14ac:dyDescent="0.25">
      <c r="C268" s="4" t="s">
        <v>429</v>
      </c>
      <c r="D268" s="6" t="s">
        <v>322</v>
      </c>
      <c r="E268" s="6" t="s">
        <v>56</v>
      </c>
      <c r="F268" s="67">
        <f t="shared" si="27"/>
        <v>182.15417028164282</v>
      </c>
      <c r="H268" s="170">
        <f>Depreciación!F94</f>
        <v>0</v>
      </c>
      <c r="I268" s="170">
        <f>Depreciación!G94</f>
        <v>0</v>
      </c>
      <c r="J268" s="170">
        <f>Depreciación!H94</f>
        <v>0</v>
      </c>
      <c r="K268" s="170">
        <f>Depreciación!I94</f>
        <v>0</v>
      </c>
      <c r="L268" s="170">
        <f>Depreciación!J94</f>
        <v>0</v>
      </c>
      <c r="M268" s="170">
        <f>Depreciación!K94</f>
        <v>0</v>
      </c>
      <c r="N268" s="170">
        <f>Depreciación!L94</f>
        <v>60.718056760547604</v>
      </c>
      <c r="O268" s="170">
        <f>Depreciación!M94</f>
        <v>60.718056760547604</v>
      </c>
      <c r="P268" s="170">
        <f>Depreciación!N94</f>
        <v>60.718056760547604</v>
      </c>
    </row>
    <row r="269" spans="3:16" hidden="1" outlineLevel="1" x14ac:dyDescent="0.25">
      <c r="C269" s="4" t="s">
        <v>430</v>
      </c>
      <c r="D269" s="6" t="s">
        <v>322</v>
      </c>
      <c r="E269" s="6" t="s">
        <v>56</v>
      </c>
      <c r="F269" s="67">
        <f t="shared" si="27"/>
        <v>171.11717479241469</v>
      </c>
      <c r="H269" s="170">
        <f>Depreciación!F95</f>
        <v>0</v>
      </c>
      <c r="I269" s="170">
        <f>Depreciación!G95</f>
        <v>0</v>
      </c>
      <c r="J269" s="170">
        <f>Depreciación!H95</f>
        <v>0</v>
      </c>
      <c r="K269" s="170">
        <f>Depreciación!I95</f>
        <v>0</v>
      </c>
      <c r="L269" s="170">
        <f>Depreciación!J95</f>
        <v>0</v>
      </c>
      <c r="M269" s="170">
        <f>Depreciación!K95</f>
        <v>0</v>
      </c>
      <c r="N269" s="170">
        <f>Depreciación!L95</f>
        <v>57.039058264138227</v>
      </c>
      <c r="O269" s="170">
        <f>Depreciación!M95</f>
        <v>57.039058264138227</v>
      </c>
      <c r="P269" s="170">
        <f>Depreciación!N95</f>
        <v>57.039058264138227</v>
      </c>
    </row>
    <row r="270" spans="3:16" hidden="1" outlineLevel="1" x14ac:dyDescent="0.25">
      <c r="C270" s="4" t="s">
        <v>431</v>
      </c>
      <c r="D270" s="6" t="s">
        <v>322</v>
      </c>
      <c r="E270" s="6" t="s">
        <v>56</v>
      </c>
      <c r="F270" s="67">
        <f t="shared" si="27"/>
        <v>66.936400230026933</v>
      </c>
      <c r="H270" s="170">
        <f>Depreciación!F96</f>
        <v>0</v>
      </c>
      <c r="I270" s="170">
        <f>Depreciación!G96</f>
        <v>0</v>
      </c>
      <c r="J270" s="170">
        <f>Depreciación!H96</f>
        <v>0</v>
      </c>
      <c r="K270" s="170">
        <f>Depreciación!I96</f>
        <v>0</v>
      </c>
      <c r="L270" s="170">
        <f>Depreciación!J96</f>
        <v>0</v>
      </c>
      <c r="M270" s="170">
        <f>Depreciación!K96</f>
        <v>0</v>
      </c>
      <c r="N270" s="170">
        <f>Depreciación!L96</f>
        <v>22.312133410008979</v>
      </c>
      <c r="O270" s="170">
        <f>Depreciación!M96</f>
        <v>22.312133410008979</v>
      </c>
      <c r="P270" s="170">
        <f>Depreciación!N96</f>
        <v>22.312133410008979</v>
      </c>
    </row>
    <row r="271" spans="3:16" hidden="1" outlineLevel="1" x14ac:dyDescent="0.25">
      <c r="C271" s="4" t="s">
        <v>432</v>
      </c>
      <c r="D271" s="6" t="s">
        <v>322</v>
      </c>
      <c r="E271" s="6" t="s">
        <v>56</v>
      </c>
      <c r="F271" s="67">
        <f t="shared" si="27"/>
        <v>45.438433067773786</v>
      </c>
      <c r="H271" s="170">
        <f>Depreciación!F97</f>
        <v>0</v>
      </c>
      <c r="I271" s="170">
        <f>Depreciación!G97</f>
        <v>0</v>
      </c>
      <c r="J271" s="170">
        <f>Depreciación!H97</f>
        <v>0</v>
      </c>
      <c r="K271" s="170">
        <f>Depreciación!I97</f>
        <v>0</v>
      </c>
      <c r="L271" s="170">
        <f>Depreciación!J97</f>
        <v>0</v>
      </c>
      <c r="M271" s="170">
        <f>Depreciación!K97</f>
        <v>0</v>
      </c>
      <c r="N271" s="170">
        <f>Depreciación!L97</f>
        <v>15.146144355924596</v>
      </c>
      <c r="O271" s="170">
        <f>Depreciación!M97</f>
        <v>15.146144355924596</v>
      </c>
      <c r="P271" s="170">
        <f>Depreciación!N97</f>
        <v>15.146144355924596</v>
      </c>
    </row>
    <row r="272" spans="3:16" hidden="1" outlineLevel="1" x14ac:dyDescent="0.25">
      <c r="C272" s="4" t="s">
        <v>433</v>
      </c>
      <c r="D272" s="6" t="s">
        <v>322</v>
      </c>
      <c r="E272" s="6" t="s">
        <v>56</v>
      </c>
      <c r="F272" s="67">
        <f t="shared" si="27"/>
        <v>6.6443966000897667</v>
      </c>
      <c r="H272" s="170">
        <f>Depreciación!F98</f>
        <v>0</v>
      </c>
      <c r="I272" s="170">
        <f>Depreciación!G98</f>
        <v>0</v>
      </c>
      <c r="J272" s="170">
        <f>Depreciación!H98</f>
        <v>0</v>
      </c>
      <c r="K272" s="170">
        <f>Depreciación!I98</f>
        <v>0</v>
      </c>
      <c r="L272" s="170">
        <f>Depreciación!J98</f>
        <v>0</v>
      </c>
      <c r="M272" s="170">
        <f>Depreciación!K98</f>
        <v>0</v>
      </c>
      <c r="N272" s="170">
        <f>Depreciación!L98</f>
        <v>2.2147988666965888</v>
      </c>
      <c r="O272" s="170">
        <f>Depreciación!M98</f>
        <v>2.2147988666965888</v>
      </c>
      <c r="P272" s="170">
        <f>Depreciación!N98</f>
        <v>2.2147988666965888</v>
      </c>
    </row>
    <row r="273" spans="3:16" hidden="1" outlineLevel="1" x14ac:dyDescent="0.25">
      <c r="C273" s="4" t="s">
        <v>434</v>
      </c>
      <c r="D273" s="6" t="s">
        <v>322</v>
      </c>
      <c r="E273" s="6" t="s">
        <v>56</v>
      </c>
      <c r="F273" s="67">
        <f t="shared" si="27"/>
        <v>101.90022450067325</v>
      </c>
      <c r="H273" s="170">
        <f>Depreciación!F99</f>
        <v>0</v>
      </c>
      <c r="I273" s="170">
        <f>Depreciación!G99</f>
        <v>0</v>
      </c>
      <c r="J273" s="170">
        <f>Depreciación!H99</f>
        <v>0</v>
      </c>
      <c r="K273" s="170">
        <f>Depreciación!I99</f>
        <v>0</v>
      </c>
      <c r="L273" s="170">
        <f>Depreciación!J99</f>
        <v>0</v>
      </c>
      <c r="M273" s="170">
        <f>Depreciación!K99</f>
        <v>0</v>
      </c>
      <c r="N273" s="170">
        <f>Depreciación!L99</f>
        <v>33.966741500224416</v>
      </c>
      <c r="O273" s="170">
        <f>Depreciación!M99</f>
        <v>33.966741500224416</v>
      </c>
      <c r="P273" s="170">
        <f>Depreciación!N99</f>
        <v>33.966741500224416</v>
      </c>
    </row>
    <row r="274" spans="3:16" hidden="1" outlineLevel="1" x14ac:dyDescent="0.25">
      <c r="C274" s="4" t="s">
        <v>435</v>
      </c>
      <c r="D274" s="6" t="s">
        <v>322</v>
      </c>
      <c r="E274" s="6" t="s">
        <v>56</v>
      </c>
      <c r="F274" s="67">
        <f t="shared" si="27"/>
        <v>32.067694254937145</v>
      </c>
      <c r="H274" s="170">
        <f>Depreciación!F100</f>
        <v>0</v>
      </c>
      <c r="I274" s="170">
        <f>Depreciación!G100</f>
        <v>0</v>
      </c>
      <c r="J274" s="170">
        <f>Depreciación!H100</f>
        <v>0</v>
      </c>
      <c r="K274" s="170">
        <f>Depreciación!I100</f>
        <v>0</v>
      </c>
      <c r="L274" s="170">
        <f>Depreciación!J100</f>
        <v>0</v>
      </c>
      <c r="M274" s="170">
        <f>Depreciación!K100</f>
        <v>0</v>
      </c>
      <c r="N274" s="170">
        <f>Depreciación!L100</f>
        <v>10.689231418312382</v>
      </c>
      <c r="O274" s="170">
        <f>Depreciación!M100</f>
        <v>10.689231418312382</v>
      </c>
      <c r="P274" s="170">
        <f>Depreciación!N100</f>
        <v>10.689231418312382</v>
      </c>
    </row>
    <row r="275" spans="3:16" hidden="1" outlineLevel="1" x14ac:dyDescent="0.25">
      <c r="C275" s="4" t="s">
        <v>436</v>
      </c>
      <c r="D275" s="6" t="s">
        <v>322</v>
      </c>
      <c r="E275" s="6" t="s">
        <v>56</v>
      </c>
      <c r="F275" s="67">
        <f t="shared" si="27"/>
        <v>26.287465462298023</v>
      </c>
      <c r="H275" s="170">
        <f>Depreciación!F101</f>
        <v>0</v>
      </c>
      <c r="I275" s="170">
        <f>Depreciación!G101</f>
        <v>0</v>
      </c>
      <c r="J275" s="170">
        <f>Depreciación!H101</f>
        <v>0</v>
      </c>
      <c r="K275" s="170">
        <f>Depreciación!I101</f>
        <v>0</v>
      </c>
      <c r="L275" s="170">
        <f>Depreciación!J101</f>
        <v>0</v>
      </c>
      <c r="M275" s="170">
        <f>Depreciación!K101</f>
        <v>0</v>
      </c>
      <c r="N275" s="170">
        <f>Depreciación!L101</f>
        <v>8.7624884874326749</v>
      </c>
      <c r="O275" s="170">
        <f>Depreciación!M101</f>
        <v>8.7624884874326749</v>
      </c>
      <c r="P275" s="170">
        <f>Depreciación!N101</f>
        <v>8.7624884874326749</v>
      </c>
    </row>
    <row r="276" spans="3:16" hidden="1" outlineLevel="1" x14ac:dyDescent="0.25">
      <c r="C276" s="4" t="s">
        <v>437</v>
      </c>
      <c r="D276" s="6" t="s">
        <v>322</v>
      </c>
      <c r="E276" s="6" t="s">
        <v>56</v>
      </c>
      <c r="F276" s="67">
        <f t="shared" si="27"/>
        <v>15.675906715664272</v>
      </c>
      <c r="H276" s="170">
        <f>Depreciación!F102</f>
        <v>0</v>
      </c>
      <c r="I276" s="170">
        <f>Depreciación!G102</f>
        <v>0</v>
      </c>
      <c r="J276" s="170">
        <f>Depreciación!H102</f>
        <v>0</v>
      </c>
      <c r="K276" s="170">
        <f>Depreciación!I102</f>
        <v>0</v>
      </c>
      <c r="L276" s="170">
        <f>Depreciación!J102</f>
        <v>0</v>
      </c>
      <c r="M276" s="170">
        <f>Depreciación!K102</f>
        <v>0</v>
      </c>
      <c r="N276" s="170">
        <f>Depreciación!L102</f>
        <v>5.2253022385547574</v>
      </c>
      <c r="O276" s="170">
        <f>Depreciación!M102</f>
        <v>5.2253022385547574</v>
      </c>
      <c r="P276" s="170">
        <f>Depreciación!N102</f>
        <v>5.2253022385547574</v>
      </c>
    </row>
    <row r="277" spans="3:16" hidden="1" outlineLevel="1" x14ac:dyDescent="0.25">
      <c r="C277" s="4" t="s">
        <v>438</v>
      </c>
      <c r="D277" s="6" t="s">
        <v>322</v>
      </c>
      <c r="E277" s="6" t="s">
        <v>56</v>
      </c>
      <c r="F277" s="67">
        <f t="shared" si="27"/>
        <v>162.55347615013466</v>
      </c>
      <c r="H277" s="170">
        <f>Depreciación!F103</f>
        <v>0</v>
      </c>
      <c r="I277" s="170">
        <f>Depreciación!G103</f>
        <v>0</v>
      </c>
      <c r="J277" s="170">
        <f>Depreciación!H103</f>
        <v>0</v>
      </c>
      <c r="K277" s="170">
        <f>Depreciación!I103</f>
        <v>0</v>
      </c>
      <c r="L277" s="170">
        <f>Depreciación!J103</f>
        <v>0</v>
      </c>
      <c r="M277" s="170">
        <f>Depreciación!K103</f>
        <v>0</v>
      </c>
      <c r="N277" s="170">
        <f>Depreciación!L103</f>
        <v>54.184492050044888</v>
      </c>
      <c r="O277" s="170">
        <f>Depreciación!M103</f>
        <v>54.184492050044888</v>
      </c>
      <c r="P277" s="170">
        <f>Depreciación!N103</f>
        <v>54.184492050044888</v>
      </c>
    </row>
    <row r="278" spans="3:16" hidden="1" outlineLevel="1" x14ac:dyDescent="0.25">
      <c r="C278" s="4" t="s">
        <v>439</v>
      </c>
      <c r="D278" s="6" t="s">
        <v>322</v>
      </c>
      <c r="E278" s="6" t="s">
        <v>56</v>
      </c>
      <c r="F278" s="67">
        <f t="shared" si="27"/>
        <v>1.2901144524236985</v>
      </c>
      <c r="H278" s="170">
        <f>Depreciación!F104</f>
        <v>0</v>
      </c>
      <c r="I278" s="170">
        <f>Depreciación!G104</f>
        <v>0</v>
      </c>
      <c r="J278" s="170">
        <f>Depreciación!H104</f>
        <v>0</v>
      </c>
      <c r="K278" s="170">
        <f>Depreciación!I104</f>
        <v>0</v>
      </c>
      <c r="L278" s="170">
        <f>Depreciación!J104</f>
        <v>0</v>
      </c>
      <c r="M278" s="170">
        <f>Depreciación!K104</f>
        <v>0</v>
      </c>
      <c r="N278" s="170">
        <f>Depreciación!L104</f>
        <v>0.43003815080789948</v>
      </c>
      <c r="O278" s="170">
        <f>Depreciación!M104</f>
        <v>0.43003815080789948</v>
      </c>
      <c r="P278" s="170">
        <f>Depreciación!N104</f>
        <v>0.43003815080789948</v>
      </c>
    </row>
    <row r="279" spans="3:16" hidden="1" outlineLevel="1" x14ac:dyDescent="0.25">
      <c r="C279" s="4" t="s">
        <v>440</v>
      </c>
      <c r="D279" s="6" t="s">
        <v>322</v>
      </c>
      <c r="E279" s="6" t="s">
        <v>56</v>
      </c>
      <c r="F279" s="67">
        <f t="shared" si="27"/>
        <v>7.4959741191651705</v>
      </c>
      <c r="H279" s="170">
        <f>Depreciación!F105</f>
        <v>0</v>
      </c>
      <c r="I279" s="170">
        <f>Depreciación!G105</f>
        <v>0</v>
      </c>
      <c r="J279" s="170">
        <f>Depreciación!H105</f>
        <v>0</v>
      </c>
      <c r="K279" s="170">
        <f>Depreciación!I105</f>
        <v>0</v>
      </c>
      <c r="L279" s="170">
        <f>Depreciación!J105</f>
        <v>0</v>
      </c>
      <c r="M279" s="170">
        <f>Depreciación!K105</f>
        <v>0</v>
      </c>
      <c r="N279" s="170">
        <f>Depreciación!L105</f>
        <v>2.4986580397217235</v>
      </c>
      <c r="O279" s="170">
        <f>Depreciación!M105</f>
        <v>2.4986580397217235</v>
      </c>
      <c r="P279" s="170">
        <f>Depreciación!N105</f>
        <v>2.4986580397217235</v>
      </c>
    </row>
    <row r="280" spans="3:16" hidden="1" outlineLevel="1" x14ac:dyDescent="0.25">
      <c r="C280" s="4" t="s">
        <v>441</v>
      </c>
      <c r="D280" s="6" t="s">
        <v>322</v>
      </c>
      <c r="E280" s="6" t="s">
        <v>56</v>
      </c>
      <c r="F280" s="67">
        <f t="shared" si="27"/>
        <v>49.04496153500898</v>
      </c>
      <c r="H280" s="170">
        <f>Depreciación!F106</f>
        <v>0</v>
      </c>
      <c r="I280" s="170">
        <f>Depreciación!G106</f>
        <v>0</v>
      </c>
      <c r="J280" s="170">
        <f>Depreciación!H106</f>
        <v>0</v>
      </c>
      <c r="K280" s="170">
        <f>Depreciación!I106</f>
        <v>0</v>
      </c>
      <c r="L280" s="170">
        <f>Depreciación!J106</f>
        <v>0</v>
      </c>
      <c r="M280" s="170">
        <f>Depreciación!K106</f>
        <v>0</v>
      </c>
      <c r="N280" s="170">
        <f>Depreciación!L106</f>
        <v>16.348320511669659</v>
      </c>
      <c r="O280" s="170">
        <f>Depreciación!M106</f>
        <v>16.348320511669659</v>
      </c>
      <c r="P280" s="170">
        <f>Depreciación!N106</f>
        <v>16.348320511669659</v>
      </c>
    </row>
    <row r="281" spans="3:16" hidden="1" outlineLevel="1" x14ac:dyDescent="0.25">
      <c r="C281" s="4" t="s">
        <v>442</v>
      </c>
      <c r="D281" s="6" t="s">
        <v>322</v>
      </c>
      <c r="E281" s="6" t="s">
        <v>56</v>
      </c>
      <c r="F281" s="67">
        <f t="shared" si="27"/>
        <v>381.61767961736984</v>
      </c>
      <c r="H281" s="170">
        <f>Depreciación!F107</f>
        <v>0</v>
      </c>
      <c r="I281" s="170">
        <f>Depreciación!G107</f>
        <v>0</v>
      </c>
      <c r="J281" s="170">
        <f>Depreciación!H107</f>
        <v>0</v>
      </c>
      <c r="K281" s="170">
        <f>Depreciación!I107</f>
        <v>0</v>
      </c>
      <c r="L281" s="170">
        <f>Depreciación!J107</f>
        <v>0</v>
      </c>
      <c r="M281" s="170">
        <f>Depreciación!K107</f>
        <v>0</v>
      </c>
      <c r="N281" s="170">
        <f>Depreciación!L107</f>
        <v>127.20589320578995</v>
      </c>
      <c r="O281" s="170">
        <f>Depreciación!M107</f>
        <v>127.20589320578995</v>
      </c>
      <c r="P281" s="170">
        <f>Depreciación!N107</f>
        <v>127.20589320578995</v>
      </c>
    </row>
    <row r="282" spans="3:16" hidden="1" outlineLevel="1" x14ac:dyDescent="0.25">
      <c r="C282" s="4" t="s">
        <v>443</v>
      </c>
      <c r="D282" s="6" t="s">
        <v>322</v>
      </c>
      <c r="E282" s="6" t="s">
        <v>56</v>
      </c>
      <c r="F282" s="67">
        <f t="shared" si="27"/>
        <v>5.0057770595439983</v>
      </c>
      <c r="H282" s="170">
        <f>Depreciación!F108</f>
        <v>0</v>
      </c>
      <c r="I282" s="170">
        <f>Depreciación!G108</f>
        <v>0</v>
      </c>
      <c r="J282" s="170">
        <f>Depreciación!H108</f>
        <v>0</v>
      </c>
      <c r="K282" s="170">
        <f>Depreciación!I108</f>
        <v>0</v>
      </c>
      <c r="L282" s="170">
        <f>Depreciación!J108</f>
        <v>0</v>
      </c>
      <c r="M282" s="170">
        <f>Depreciación!K108</f>
        <v>0</v>
      </c>
      <c r="N282" s="170">
        <f>Depreciación!L108</f>
        <v>1.4722873704541171</v>
      </c>
      <c r="O282" s="170">
        <f>Depreciación!M108</f>
        <v>1.7667448445449403</v>
      </c>
      <c r="P282" s="170">
        <f>Depreciación!N108</f>
        <v>1.7667448445449403</v>
      </c>
    </row>
    <row r="283" spans="3:16" hidden="1" outlineLevel="1" x14ac:dyDescent="0.25">
      <c r="C283" s="4" t="s">
        <v>444</v>
      </c>
      <c r="D283" s="6" t="s">
        <v>322</v>
      </c>
      <c r="E283" s="6" t="s">
        <v>56</v>
      </c>
      <c r="F283" s="67">
        <f t="shared" si="27"/>
        <v>40.245653370998113</v>
      </c>
      <c r="H283" s="170">
        <f>Depreciación!F109</f>
        <v>0</v>
      </c>
      <c r="I283" s="170">
        <f>Depreciación!G109</f>
        <v>0</v>
      </c>
      <c r="J283" s="170">
        <f>Depreciación!H109</f>
        <v>0</v>
      </c>
      <c r="K283" s="170">
        <f>Depreciación!I109</f>
        <v>0</v>
      </c>
      <c r="L283" s="170">
        <f>Depreciación!J109</f>
        <v>0</v>
      </c>
      <c r="M283" s="170">
        <f>Depreciación!K109</f>
        <v>0</v>
      </c>
      <c r="N283" s="170">
        <f>Depreciación!L109</f>
        <v>11.836956873822976</v>
      </c>
      <c r="O283" s="170">
        <f>Depreciación!M109</f>
        <v>14.204348248587568</v>
      </c>
      <c r="P283" s="170">
        <f>Depreciación!N109</f>
        <v>14.204348248587568</v>
      </c>
    </row>
    <row r="284" spans="3:16" hidden="1" outlineLevel="1" x14ac:dyDescent="0.25">
      <c r="C284" s="4" t="s">
        <v>445</v>
      </c>
      <c r="D284" s="6" t="s">
        <v>322</v>
      </c>
      <c r="E284" s="6" t="s">
        <v>56</v>
      </c>
      <c r="F284" s="67">
        <f t="shared" si="27"/>
        <v>20.282818647909362</v>
      </c>
      <c r="H284" s="170">
        <f>Depreciación!F110</f>
        <v>0</v>
      </c>
      <c r="I284" s="170">
        <f>Depreciación!G110</f>
        <v>0</v>
      </c>
      <c r="J284" s="170">
        <f>Depreciación!H110</f>
        <v>0</v>
      </c>
      <c r="K284" s="170">
        <f>Depreciación!I110</f>
        <v>0</v>
      </c>
      <c r="L284" s="170">
        <f>Depreciación!J110</f>
        <v>0</v>
      </c>
      <c r="M284" s="170">
        <f>Depreciación!K110</f>
        <v>0</v>
      </c>
      <c r="N284" s="170">
        <f>Depreciación!L110</f>
        <v>0</v>
      </c>
      <c r="O284" s="170">
        <f>Depreciación!M110</f>
        <v>9.7004784837827387</v>
      </c>
      <c r="P284" s="170">
        <f>Depreciación!N110</f>
        <v>10.582340164126624</v>
      </c>
    </row>
    <row r="285" spans="3:16" hidden="1" outlineLevel="1" x14ac:dyDescent="0.25">
      <c r="C285" s="4" t="s">
        <v>446</v>
      </c>
      <c r="D285" s="6" t="s">
        <v>322</v>
      </c>
      <c r="E285" s="6" t="s">
        <v>56</v>
      </c>
      <c r="F285" s="67">
        <f t="shared" si="27"/>
        <v>2.9587905640301315</v>
      </c>
      <c r="H285" s="170">
        <f>Depreciación!F111</f>
        <v>0</v>
      </c>
      <c r="I285" s="170">
        <f>Depreciación!G111</f>
        <v>0</v>
      </c>
      <c r="J285" s="170">
        <f>Depreciación!H111</f>
        <v>0</v>
      </c>
      <c r="K285" s="170">
        <f>Depreciación!I111</f>
        <v>0</v>
      </c>
      <c r="L285" s="170">
        <f>Depreciación!J111</f>
        <v>0</v>
      </c>
      <c r="M285" s="170">
        <f>Depreciación!K111</f>
        <v>0</v>
      </c>
      <c r="N285" s="170">
        <f>Depreciación!L111</f>
        <v>0.87023251883239172</v>
      </c>
      <c r="O285" s="170">
        <f>Depreciación!M111</f>
        <v>1.0442790225988701</v>
      </c>
      <c r="P285" s="170">
        <f>Depreciación!N111</f>
        <v>1.0442790225988701</v>
      </c>
    </row>
    <row r="286" spans="3:16" hidden="1" outlineLevel="1" x14ac:dyDescent="0.25">
      <c r="C286" s="4" t="s">
        <v>447</v>
      </c>
      <c r="D286" s="6" t="s">
        <v>322</v>
      </c>
      <c r="E286" s="6" t="s">
        <v>56</v>
      </c>
      <c r="F286" s="67">
        <f t="shared" si="27"/>
        <v>102.48630111958566</v>
      </c>
      <c r="H286" s="170">
        <f>Depreciación!F112</f>
        <v>0</v>
      </c>
      <c r="I286" s="170">
        <f>Depreciación!G112</f>
        <v>0</v>
      </c>
      <c r="J286" s="170">
        <f>Depreciación!H112</f>
        <v>0</v>
      </c>
      <c r="K286" s="170">
        <f>Depreciación!I112</f>
        <v>0</v>
      </c>
      <c r="L286" s="170">
        <f>Depreciación!J112</f>
        <v>0</v>
      </c>
      <c r="M286" s="170">
        <f>Depreciación!K112</f>
        <v>0</v>
      </c>
      <c r="N286" s="170">
        <f>Depreciación!L112</f>
        <v>30.143029741054608</v>
      </c>
      <c r="O286" s="170">
        <f>Depreciación!M112</f>
        <v>36.171635689265528</v>
      </c>
      <c r="P286" s="170">
        <f>Depreciación!N112</f>
        <v>36.171635689265528</v>
      </c>
    </row>
    <row r="287" spans="3:16" hidden="1" outlineLevel="1" x14ac:dyDescent="0.25">
      <c r="C287" s="4" t="s">
        <v>448</v>
      </c>
      <c r="D287" s="6" t="s">
        <v>322</v>
      </c>
      <c r="E287" s="6" t="s">
        <v>56</v>
      </c>
      <c r="F287" s="67">
        <f t="shared" si="27"/>
        <v>6.0832078860640291</v>
      </c>
      <c r="H287" s="170">
        <f>Depreciación!F113</f>
        <v>0</v>
      </c>
      <c r="I287" s="170">
        <f>Depreciación!G113</f>
        <v>0</v>
      </c>
      <c r="J287" s="170">
        <f>Depreciación!H113</f>
        <v>0</v>
      </c>
      <c r="K287" s="170">
        <f>Depreciación!I113</f>
        <v>0</v>
      </c>
      <c r="L287" s="170">
        <f>Depreciación!J113</f>
        <v>0</v>
      </c>
      <c r="M287" s="170">
        <f>Depreciación!K113</f>
        <v>0</v>
      </c>
      <c r="N287" s="170">
        <f>Depreciación!L113</f>
        <v>1.7891787900188321</v>
      </c>
      <c r="O287" s="170">
        <f>Depreciación!M113</f>
        <v>2.1470145480225984</v>
      </c>
      <c r="P287" s="170">
        <f>Depreciación!N113</f>
        <v>2.1470145480225984</v>
      </c>
    </row>
    <row r="288" spans="3:16" hidden="1" outlineLevel="1" x14ac:dyDescent="0.25">
      <c r="C288" s="4" t="s">
        <v>449</v>
      </c>
      <c r="D288" s="6" t="s">
        <v>322</v>
      </c>
      <c r="E288" s="6" t="s">
        <v>56</v>
      </c>
      <c r="F288" s="67">
        <f t="shared" si="27"/>
        <v>48.967587170433141</v>
      </c>
      <c r="H288" s="170">
        <f>Depreciación!F114</f>
        <v>0</v>
      </c>
      <c r="I288" s="170">
        <f>Depreciación!G114</f>
        <v>0</v>
      </c>
      <c r="J288" s="170">
        <f>Depreciación!H114</f>
        <v>0</v>
      </c>
      <c r="K288" s="170">
        <f>Depreciación!I114</f>
        <v>0</v>
      </c>
      <c r="L288" s="170">
        <f>Depreciación!J114</f>
        <v>0</v>
      </c>
      <c r="M288" s="170">
        <f>Depreciación!K114</f>
        <v>0</v>
      </c>
      <c r="N288" s="170">
        <f>Depreciación!L114</f>
        <v>14.402231520715631</v>
      </c>
      <c r="O288" s="170">
        <f>Depreciación!M114</f>
        <v>17.282677824858755</v>
      </c>
      <c r="P288" s="170">
        <f>Depreciación!N114</f>
        <v>17.282677824858755</v>
      </c>
    </row>
    <row r="289" spans="2:16" hidden="1" outlineLevel="1" x14ac:dyDescent="0.25">
      <c r="C289" s="4" t="s">
        <v>450</v>
      </c>
      <c r="D289" s="6" t="s">
        <v>322</v>
      </c>
      <c r="E289" s="6" t="s">
        <v>56</v>
      </c>
      <c r="F289" s="67">
        <f t="shared" si="27"/>
        <v>34.169871619585678</v>
      </c>
      <c r="H289" s="170">
        <f>Depreciación!F115</f>
        <v>0</v>
      </c>
      <c r="I289" s="170">
        <f>Depreciación!G115</f>
        <v>0</v>
      </c>
      <c r="J289" s="170">
        <f>Depreciación!H115</f>
        <v>0</v>
      </c>
      <c r="K289" s="170">
        <f>Depreciación!I115</f>
        <v>0</v>
      </c>
      <c r="L289" s="170">
        <f>Depreciación!J115</f>
        <v>0</v>
      </c>
      <c r="M289" s="170">
        <f>Depreciación!K115</f>
        <v>0</v>
      </c>
      <c r="N289" s="170">
        <f>Depreciación!L115</f>
        <v>10.049962241054613</v>
      </c>
      <c r="O289" s="170">
        <f>Depreciación!M115</f>
        <v>12.059954689265535</v>
      </c>
      <c r="P289" s="170">
        <f>Depreciación!N115</f>
        <v>12.059954689265535</v>
      </c>
    </row>
    <row r="290" spans="2:16" hidden="1" outlineLevel="1" x14ac:dyDescent="0.25">
      <c r="C290" s="4" t="s">
        <v>370</v>
      </c>
      <c r="D290" s="6" t="s">
        <v>322</v>
      </c>
      <c r="E290" s="6" t="s">
        <v>56</v>
      </c>
      <c r="F290" s="67">
        <f t="shared" si="27"/>
        <v>71.991762170596388</v>
      </c>
      <c r="H290" s="170">
        <f>Depreciación!F116</f>
        <v>0</v>
      </c>
      <c r="I290" s="170">
        <f>Depreciación!G116</f>
        <v>0</v>
      </c>
      <c r="J290" s="170">
        <f>Depreciación!H116</f>
        <v>0</v>
      </c>
      <c r="K290" s="170">
        <f>Depreciación!I116</f>
        <v>0</v>
      </c>
      <c r="L290" s="170">
        <f>Depreciación!J116</f>
        <v>0</v>
      </c>
      <c r="M290" s="170">
        <f>Depreciación!K116</f>
        <v>0</v>
      </c>
      <c r="N290" s="170">
        <f>Depreciación!L116</f>
        <v>7.9990846856218205</v>
      </c>
      <c r="O290" s="170">
        <f>Depreciación!M116</f>
        <v>31.996338742487282</v>
      </c>
      <c r="P290" s="170">
        <f>Depreciación!N116</f>
        <v>31.996338742487282</v>
      </c>
    </row>
    <row r="291" spans="2:16" hidden="1" outlineLevel="1" x14ac:dyDescent="0.25">
      <c r="C291" s="223" t="s">
        <v>464</v>
      </c>
      <c r="D291" s="254" t="s">
        <v>322</v>
      </c>
      <c r="E291" s="254" t="s">
        <v>56</v>
      </c>
      <c r="F291" s="255">
        <f t="shared" ref="F291:F292" si="28">+SUM(H291:P291)</f>
        <v>101.91387613690475</v>
      </c>
      <c r="G291" s="223"/>
      <c r="H291" s="268">
        <f>Depreciación!F117</f>
        <v>0</v>
      </c>
      <c r="I291" s="268">
        <f>Depreciación!G117</f>
        <v>0</v>
      </c>
      <c r="J291" s="268">
        <f>Depreciación!H117</f>
        <v>0</v>
      </c>
      <c r="K291" s="268">
        <f>Depreciación!I117</f>
        <v>0</v>
      </c>
      <c r="L291" s="268">
        <f>Depreciación!J117</f>
        <v>0</v>
      </c>
      <c r="M291" s="268">
        <f>Depreciación!K117</f>
        <v>19.989824859126983</v>
      </c>
      <c r="N291" s="268">
        <f>Depreciación!L117</f>
        <v>28.348492833333331</v>
      </c>
      <c r="O291" s="268">
        <f>Depreciación!M117</f>
        <v>28.348492833333331</v>
      </c>
      <c r="P291" s="268">
        <f>Depreciación!N117</f>
        <v>25.227065611111108</v>
      </c>
    </row>
    <row r="292" spans="2:16" hidden="1" outlineLevel="1" x14ac:dyDescent="0.25">
      <c r="C292" s="223" t="s">
        <v>465</v>
      </c>
      <c r="D292" s="254" t="s">
        <v>322</v>
      </c>
      <c r="E292" s="254" t="s">
        <v>56</v>
      </c>
      <c r="F292" s="255">
        <f t="shared" si="28"/>
        <v>75.505512428571421</v>
      </c>
      <c r="G292" s="223"/>
      <c r="H292" s="268">
        <f>Depreciación!F118</f>
        <v>0</v>
      </c>
      <c r="I292" s="268">
        <f>Depreciación!G118</f>
        <v>0</v>
      </c>
      <c r="J292" s="268">
        <f>Depreciación!H118</f>
        <v>0</v>
      </c>
      <c r="K292" s="268">
        <f>Depreciación!I118</f>
        <v>0</v>
      </c>
      <c r="L292" s="268">
        <f>Depreciación!J118</f>
        <v>0</v>
      </c>
      <c r="M292" s="268">
        <f>Depreciación!K118</f>
        <v>0</v>
      </c>
      <c r="N292" s="268">
        <f>Depreciación!L118</f>
        <v>25.168504142857142</v>
      </c>
      <c r="O292" s="268">
        <f>Depreciación!M118</f>
        <v>25.168504142857142</v>
      </c>
      <c r="P292" s="268">
        <f>Depreciación!N118</f>
        <v>25.168504142857142</v>
      </c>
    </row>
    <row r="293" spans="2:16" collapsed="1" x14ac:dyDescent="0.25">
      <c r="D293" s="6"/>
      <c r="E293" s="6"/>
      <c r="F293" s="67"/>
      <c r="H293" s="8"/>
      <c r="I293" s="205"/>
      <c r="J293" s="205"/>
      <c r="K293" s="205"/>
      <c r="L293" s="205"/>
      <c r="M293" s="205"/>
      <c r="N293" s="260"/>
      <c r="O293" s="205"/>
      <c r="P293" s="205"/>
    </row>
    <row r="294" spans="2:16" ht="13" x14ac:dyDescent="0.3">
      <c r="B294" s="7" t="s">
        <v>374</v>
      </c>
      <c r="H294" s="8"/>
      <c r="I294" s="205"/>
      <c r="J294" s="205"/>
      <c r="K294" s="205"/>
      <c r="L294" s="205"/>
      <c r="M294" s="205"/>
      <c r="N294" s="205"/>
      <c r="O294" s="205"/>
      <c r="P294" s="205"/>
    </row>
    <row r="295" spans="2:16" ht="13" hidden="1" outlineLevel="1" x14ac:dyDescent="0.3">
      <c r="B295" s="7"/>
      <c r="C295" s="4" t="s">
        <v>375</v>
      </c>
      <c r="D295" s="6" t="s">
        <v>322</v>
      </c>
      <c r="E295" s="6" t="s">
        <v>56</v>
      </c>
      <c r="F295" s="67">
        <f t="shared" ref="F295:F332" si="29">+SUM(H295:P295)</f>
        <v>8902.4683937777791</v>
      </c>
      <c r="H295" s="170">
        <f>Depreciación!F121</f>
        <v>0</v>
      </c>
      <c r="I295" s="170">
        <f>Depreciación!G121</f>
        <v>0</v>
      </c>
      <c r="J295" s="170">
        <f>Depreciación!H121</f>
        <v>597.66716000000008</v>
      </c>
      <c r="K295" s="170">
        <f>Depreciación!I121</f>
        <v>967.30044711111123</v>
      </c>
      <c r="L295" s="170">
        <f>Depreciación!J121</f>
        <v>1467.5001573333334</v>
      </c>
      <c r="M295" s="170">
        <f>Depreciación!K121</f>
        <v>1467.5001573333334</v>
      </c>
      <c r="N295" s="170">
        <f>Depreciación!L121</f>
        <v>1467.5001573333334</v>
      </c>
      <c r="O295" s="170">
        <f>Depreciación!M121</f>
        <v>1467.5001573333334</v>
      </c>
      <c r="P295" s="170">
        <f>Depreciación!N121</f>
        <v>1467.5001573333334</v>
      </c>
    </row>
    <row r="296" spans="2:16" ht="13" hidden="1" outlineLevel="1" x14ac:dyDescent="0.3">
      <c r="B296" s="7"/>
      <c r="C296" s="4" t="s">
        <v>376</v>
      </c>
      <c r="D296" s="6" t="s">
        <v>322</v>
      </c>
      <c r="E296" s="6" t="s">
        <v>56</v>
      </c>
      <c r="F296" s="67">
        <f t="shared" si="29"/>
        <v>330.24101900000005</v>
      </c>
      <c r="H296" s="170">
        <f>Depreciación!F122</f>
        <v>0</v>
      </c>
      <c r="I296" s="170">
        <f>Depreciación!G122</f>
        <v>0</v>
      </c>
      <c r="J296" s="170">
        <f>Depreciación!H122</f>
        <v>40.273295000000012</v>
      </c>
      <c r="K296" s="170">
        <f>Depreciación!I122</f>
        <v>48.327954000000005</v>
      </c>
      <c r="L296" s="170">
        <f>Depreciación!J122</f>
        <v>48.327954000000005</v>
      </c>
      <c r="M296" s="170">
        <f>Depreciación!K122</f>
        <v>48.327954000000005</v>
      </c>
      <c r="N296" s="170">
        <f>Depreciación!L122</f>
        <v>48.327954000000005</v>
      </c>
      <c r="O296" s="170">
        <f>Depreciación!M122</f>
        <v>48.327954000000005</v>
      </c>
      <c r="P296" s="170">
        <f>Depreciación!N122</f>
        <v>48.327954000000005</v>
      </c>
    </row>
    <row r="297" spans="2:16" ht="13" hidden="1" outlineLevel="1" x14ac:dyDescent="0.3">
      <c r="B297" s="7"/>
      <c r="C297" s="4" t="s">
        <v>377</v>
      </c>
      <c r="D297" s="6" t="s">
        <v>322</v>
      </c>
      <c r="E297" s="6" t="s">
        <v>56</v>
      </c>
      <c r="F297" s="67">
        <f t="shared" si="29"/>
        <v>1910.7823100833339</v>
      </c>
      <c r="H297" s="170">
        <f>Depreciación!F123</f>
        <v>0</v>
      </c>
      <c r="I297" s="170">
        <f>Depreciación!G123</f>
        <v>0</v>
      </c>
      <c r="J297" s="170">
        <f>Depreciación!H123</f>
        <v>188.09900608333334</v>
      </c>
      <c r="K297" s="170">
        <f>Depreciación!I123</f>
        <v>287.11388400000004</v>
      </c>
      <c r="L297" s="170">
        <f>Depreciación!J123</f>
        <v>287.11388400000004</v>
      </c>
      <c r="M297" s="170">
        <f>Depreciación!K123</f>
        <v>287.11388400000004</v>
      </c>
      <c r="N297" s="170">
        <f>Depreciación!L123</f>
        <v>287.11388400000004</v>
      </c>
      <c r="O297" s="170">
        <f>Depreciación!M123</f>
        <v>287.11388400000004</v>
      </c>
      <c r="P297" s="170">
        <f>Depreciación!N123</f>
        <v>287.11388400000004</v>
      </c>
    </row>
    <row r="298" spans="2:16" ht="13" hidden="1" outlineLevel="1" x14ac:dyDescent="0.3">
      <c r="B298" s="7"/>
      <c r="C298" s="4" t="s">
        <v>378</v>
      </c>
      <c r="D298" s="6" t="s">
        <v>322</v>
      </c>
      <c r="E298" s="6" t="s">
        <v>56</v>
      </c>
      <c r="F298" s="67">
        <f t="shared" si="29"/>
        <v>319.28559142857148</v>
      </c>
      <c r="H298" s="170">
        <f>Depreciación!F124</f>
        <v>0</v>
      </c>
      <c r="I298" s="170">
        <f>Depreciación!G124</f>
        <v>0</v>
      </c>
      <c r="J298" s="170">
        <f>Depreciación!H124</f>
        <v>0</v>
      </c>
      <c r="K298" s="170">
        <f>Depreciación!I124</f>
        <v>29.025962857142858</v>
      </c>
      <c r="L298" s="170">
        <f>Depreciación!J124</f>
        <v>58.051925714285716</v>
      </c>
      <c r="M298" s="170">
        <f>Depreciación!K124</f>
        <v>58.051925714285716</v>
      </c>
      <c r="N298" s="170">
        <f>Depreciación!L124</f>
        <v>58.051925714285716</v>
      </c>
      <c r="O298" s="170">
        <f>Depreciación!M124</f>
        <v>58.051925714285716</v>
      </c>
      <c r="P298" s="170">
        <f>Depreciación!N124</f>
        <v>58.051925714285716</v>
      </c>
    </row>
    <row r="299" spans="2:16" ht="13" hidden="1" outlineLevel="1" x14ac:dyDescent="0.3">
      <c r="B299" s="7"/>
      <c r="C299" s="4" t="s">
        <v>379</v>
      </c>
      <c r="D299" s="6" t="s">
        <v>322</v>
      </c>
      <c r="E299" s="6" t="s">
        <v>56</v>
      </c>
      <c r="F299" s="67">
        <f t="shared" si="29"/>
        <v>38.898300000000006</v>
      </c>
      <c r="H299" s="170">
        <f>Depreciación!F125</f>
        <v>0</v>
      </c>
      <c r="I299" s="170">
        <f>Depreciación!G125</f>
        <v>0</v>
      </c>
      <c r="J299" s="170">
        <f>Depreciación!H125</f>
        <v>0</v>
      </c>
      <c r="K299" s="170">
        <f>Depreciación!I125</f>
        <v>1.9449150000000002</v>
      </c>
      <c r="L299" s="170">
        <f>Depreciación!J125</f>
        <v>7.7796600000000007</v>
      </c>
      <c r="M299" s="170">
        <f>Depreciación!K125</f>
        <v>7.7796600000000007</v>
      </c>
      <c r="N299" s="170">
        <f>Depreciación!L125</f>
        <v>7.7796600000000007</v>
      </c>
      <c r="O299" s="170">
        <f>Depreciación!M125</f>
        <v>7.7796600000000007</v>
      </c>
      <c r="P299" s="170">
        <f>Depreciación!N125</f>
        <v>5.8347450000000016</v>
      </c>
    </row>
    <row r="300" spans="2:16" ht="13" hidden="1" outlineLevel="1" x14ac:dyDescent="0.3">
      <c r="B300" s="7"/>
      <c r="C300" s="4" t="s">
        <v>380</v>
      </c>
      <c r="D300" s="6" t="s">
        <v>322</v>
      </c>
      <c r="E300" s="6" t="s">
        <v>56</v>
      </c>
      <c r="F300" s="67">
        <f t="shared" si="29"/>
        <v>47.796599999999998</v>
      </c>
      <c r="H300" s="170">
        <f>Depreciación!F126</f>
        <v>0</v>
      </c>
      <c r="I300" s="170">
        <f>Depreciación!G126</f>
        <v>0</v>
      </c>
      <c r="J300" s="170">
        <f>Depreciación!H126</f>
        <v>0</v>
      </c>
      <c r="K300" s="170">
        <f>Depreciación!I126</f>
        <v>2.3898299999999999</v>
      </c>
      <c r="L300" s="170">
        <f>Depreciación!J126</f>
        <v>9.5593199999999996</v>
      </c>
      <c r="M300" s="170">
        <f>Depreciación!K126</f>
        <v>9.5593199999999996</v>
      </c>
      <c r="N300" s="170">
        <f>Depreciación!L126</f>
        <v>9.5593199999999996</v>
      </c>
      <c r="O300" s="170">
        <f>Depreciación!M126</f>
        <v>9.5593199999999996</v>
      </c>
      <c r="P300" s="170">
        <f>Depreciación!N126</f>
        <v>7.1694899999999979</v>
      </c>
    </row>
    <row r="301" spans="2:16" ht="13" hidden="1" outlineLevel="1" x14ac:dyDescent="0.3">
      <c r="B301" s="7"/>
      <c r="C301" s="4" t="s">
        <v>381</v>
      </c>
      <c r="D301" s="6" t="s">
        <v>322</v>
      </c>
      <c r="E301" s="6" t="s">
        <v>56</v>
      </c>
      <c r="F301" s="67">
        <f t="shared" si="29"/>
        <v>102.89256749999998</v>
      </c>
      <c r="H301" s="170">
        <f>Depreciación!F127</f>
        <v>0</v>
      </c>
      <c r="I301" s="170">
        <f>Depreciación!G127</f>
        <v>0</v>
      </c>
      <c r="J301" s="170">
        <f>Depreciación!H127</f>
        <v>0</v>
      </c>
      <c r="K301" s="170">
        <f>Depreciación!I127</f>
        <v>4.8996460714285712</v>
      </c>
      <c r="L301" s="170">
        <f>Depreciación!J127</f>
        <v>19.598584285714285</v>
      </c>
      <c r="M301" s="170">
        <f>Depreciación!K127</f>
        <v>19.598584285714285</v>
      </c>
      <c r="N301" s="170">
        <f>Depreciación!L127</f>
        <v>19.598584285714285</v>
      </c>
      <c r="O301" s="170">
        <f>Depreciación!M127</f>
        <v>19.598584285714285</v>
      </c>
      <c r="P301" s="170">
        <f>Depreciación!N127</f>
        <v>19.598584285714285</v>
      </c>
    </row>
    <row r="302" spans="2:16" ht="13" hidden="1" outlineLevel="1" x14ac:dyDescent="0.3">
      <c r="B302" s="7"/>
      <c r="C302" s="4" t="s">
        <v>382</v>
      </c>
      <c r="D302" s="6" t="s">
        <v>322</v>
      </c>
      <c r="E302" s="6" t="s">
        <v>56</v>
      </c>
      <c r="F302" s="67">
        <f t="shared" si="29"/>
        <v>64.60424249999997</v>
      </c>
      <c r="H302" s="170">
        <f>Depreciación!F128</f>
        <v>0</v>
      </c>
      <c r="I302" s="170">
        <f>Depreciación!G128</f>
        <v>0</v>
      </c>
      <c r="J302" s="170">
        <f>Depreciación!H128</f>
        <v>0</v>
      </c>
      <c r="K302" s="170">
        <f>Depreciación!I128</f>
        <v>3.076392499999999</v>
      </c>
      <c r="L302" s="170">
        <f>Depreciación!J128</f>
        <v>12.305569999999996</v>
      </c>
      <c r="M302" s="170">
        <f>Depreciación!K128</f>
        <v>12.305569999999996</v>
      </c>
      <c r="N302" s="170">
        <f>Depreciación!L128</f>
        <v>12.305569999999996</v>
      </c>
      <c r="O302" s="170">
        <f>Depreciación!M128</f>
        <v>12.305569999999996</v>
      </c>
      <c r="P302" s="170">
        <f>Depreciación!N128</f>
        <v>12.305569999999996</v>
      </c>
    </row>
    <row r="303" spans="2:16" ht="13" hidden="1" outlineLevel="1" x14ac:dyDescent="0.3">
      <c r="B303" s="7"/>
      <c r="C303" s="4" t="s">
        <v>383</v>
      </c>
      <c r="D303" s="6" t="s">
        <v>322</v>
      </c>
      <c r="E303" s="6" t="s">
        <v>56</v>
      </c>
      <c r="F303" s="67">
        <f t="shared" si="29"/>
        <v>19.385589999999997</v>
      </c>
      <c r="H303" s="170">
        <f>Depreciación!F129</f>
        <v>0</v>
      </c>
      <c r="I303" s="170">
        <f>Depreciación!G129</f>
        <v>0</v>
      </c>
      <c r="J303" s="170">
        <f>Depreciación!H129</f>
        <v>0</v>
      </c>
      <c r="K303" s="170">
        <f>Depreciación!I129</f>
        <v>0.96927950000000007</v>
      </c>
      <c r="L303" s="170">
        <f>Depreciación!J129</f>
        <v>3.8771180000000003</v>
      </c>
      <c r="M303" s="170">
        <f>Depreciación!K129</f>
        <v>3.8771180000000003</v>
      </c>
      <c r="N303" s="170">
        <f>Depreciación!L129</f>
        <v>3.8771180000000003</v>
      </c>
      <c r="O303" s="170">
        <f>Depreciación!M129</f>
        <v>3.8771180000000003</v>
      </c>
      <c r="P303" s="170">
        <f>Depreciación!N129</f>
        <v>2.9078384999999982</v>
      </c>
    </row>
    <row r="304" spans="2:16" ht="13" hidden="1" outlineLevel="1" x14ac:dyDescent="0.3">
      <c r="B304" s="7"/>
      <c r="C304" s="4" t="s">
        <v>384</v>
      </c>
      <c r="D304" s="6" t="s">
        <v>322</v>
      </c>
      <c r="E304" s="6" t="s">
        <v>56</v>
      </c>
      <c r="F304" s="67">
        <f t="shared" si="29"/>
        <v>191.42875999999998</v>
      </c>
      <c r="H304" s="170">
        <f>Depreciación!F130</f>
        <v>0</v>
      </c>
      <c r="I304" s="170">
        <f>Depreciación!G130</f>
        <v>0</v>
      </c>
      <c r="J304" s="170">
        <f>Depreciación!H130</f>
        <v>0</v>
      </c>
      <c r="K304" s="170">
        <f>Depreciación!I130</f>
        <v>9.5714380000000006</v>
      </c>
      <c r="L304" s="170">
        <f>Depreciación!J130</f>
        <v>38.285752000000002</v>
      </c>
      <c r="M304" s="170">
        <f>Depreciación!K130</f>
        <v>38.285752000000002</v>
      </c>
      <c r="N304" s="170">
        <f>Depreciación!L130</f>
        <v>38.285752000000002</v>
      </c>
      <c r="O304" s="170">
        <f>Depreciación!M130</f>
        <v>38.285752000000002</v>
      </c>
      <c r="P304" s="170">
        <f>Depreciación!N130</f>
        <v>28.714313999999963</v>
      </c>
    </row>
    <row r="305" spans="2:16" ht="13" hidden="1" outlineLevel="1" x14ac:dyDescent="0.3">
      <c r="B305" s="7"/>
      <c r="C305" s="4" t="s">
        <v>348</v>
      </c>
      <c r="D305" s="6" t="s">
        <v>322</v>
      </c>
      <c r="E305" s="6" t="s">
        <v>56</v>
      </c>
      <c r="F305" s="67">
        <f t="shared" si="29"/>
        <v>1391.2813392857142</v>
      </c>
      <c r="H305" s="170">
        <f>Depreciación!F131</f>
        <v>0</v>
      </c>
      <c r="I305" s="170">
        <f>Depreciación!G131</f>
        <v>0</v>
      </c>
      <c r="J305" s="170">
        <f>Depreciación!H131</f>
        <v>0</v>
      </c>
      <c r="K305" s="170">
        <f>Depreciación!I131</f>
        <v>52.164373571428563</v>
      </c>
      <c r="L305" s="170">
        <f>Depreciación!J131</f>
        <v>236.56593714285714</v>
      </c>
      <c r="M305" s="170">
        <f>Depreciación!K131</f>
        <v>275.63775714285714</v>
      </c>
      <c r="N305" s="170">
        <f>Depreciación!L131</f>
        <v>275.63775714285714</v>
      </c>
      <c r="O305" s="170">
        <f>Depreciación!M131</f>
        <v>275.63775714285714</v>
      </c>
      <c r="P305" s="170">
        <f>Depreciación!N131</f>
        <v>275.63775714285714</v>
      </c>
    </row>
    <row r="306" spans="2:16" ht="13" hidden="1" outlineLevel="1" x14ac:dyDescent="0.3">
      <c r="B306" s="7"/>
      <c r="C306" s="4" t="s">
        <v>385</v>
      </c>
      <c r="D306" s="6" t="s">
        <v>322</v>
      </c>
      <c r="E306" s="6" t="s">
        <v>56</v>
      </c>
      <c r="F306" s="67">
        <f t="shared" si="29"/>
        <v>490.56280142857133</v>
      </c>
      <c r="H306" s="170">
        <f>Depreciación!F132</f>
        <v>0</v>
      </c>
      <c r="I306" s="170">
        <f>Depreciación!G132</f>
        <v>0</v>
      </c>
      <c r="J306" s="170">
        <f>Depreciación!H132</f>
        <v>0</v>
      </c>
      <c r="K306" s="170">
        <f>Depreciación!I132</f>
        <v>20.807157142857143</v>
      </c>
      <c r="L306" s="170">
        <f>Depreciación!J132</f>
        <v>87.352667142857143</v>
      </c>
      <c r="M306" s="170">
        <f>Depreciación!K132</f>
        <v>95.600744285714271</v>
      </c>
      <c r="N306" s="170">
        <f>Depreciación!L132</f>
        <v>95.600744285714271</v>
      </c>
      <c r="O306" s="170">
        <f>Depreciación!M132</f>
        <v>95.600744285714271</v>
      </c>
      <c r="P306" s="170">
        <f>Depreciación!N132</f>
        <v>95.600744285714271</v>
      </c>
    </row>
    <row r="307" spans="2:16" ht="13" hidden="1" outlineLevel="1" x14ac:dyDescent="0.3">
      <c r="B307" s="7"/>
      <c r="C307" s="4" t="s">
        <v>386</v>
      </c>
      <c r="D307" s="6" t="s">
        <v>322</v>
      </c>
      <c r="E307" s="6" t="s">
        <v>56</v>
      </c>
      <c r="F307" s="67">
        <f t="shared" si="29"/>
        <v>8288.1649127499986</v>
      </c>
      <c r="H307" s="170">
        <f>Depreciación!F133</f>
        <v>0</v>
      </c>
      <c r="I307" s="170">
        <f>Depreciación!G133</f>
        <v>0</v>
      </c>
      <c r="J307" s="170">
        <f>Depreciación!H133</f>
        <v>0</v>
      </c>
      <c r="K307" s="170">
        <f>Depreciación!I133</f>
        <v>0</v>
      </c>
      <c r="L307" s="170">
        <f>Depreciación!J133</f>
        <v>1069.34366875</v>
      </c>
      <c r="M307" s="170">
        <f>Depreciación!K133</f>
        <v>1804.7053109999997</v>
      </c>
      <c r="N307" s="170">
        <f>Depreciación!L133</f>
        <v>1804.7053109999997</v>
      </c>
      <c r="O307" s="170">
        <f>Depreciación!M133</f>
        <v>1804.7053109999997</v>
      </c>
      <c r="P307" s="170">
        <f>Depreciación!N133</f>
        <v>1804.7053109999997</v>
      </c>
    </row>
    <row r="308" spans="2:16" ht="13" hidden="1" outlineLevel="1" x14ac:dyDescent="0.3">
      <c r="B308" s="7"/>
      <c r="C308" s="4" t="s">
        <v>387</v>
      </c>
      <c r="D308" s="6" t="s">
        <v>322</v>
      </c>
      <c r="E308" s="6" t="s">
        <v>56</v>
      </c>
      <c r="F308" s="67">
        <f t="shared" si="29"/>
        <v>565.4806285714285</v>
      </c>
      <c r="H308" s="170">
        <f>Depreciación!F134</f>
        <v>0</v>
      </c>
      <c r="I308" s="170">
        <f>Depreciación!G134</f>
        <v>0</v>
      </c>
      <c r="J308" s="170">
        <f>Depreciación!H134</f>
        <v>0</v>
      </c>
      <c r="K308" s="170">
        <f>Depreciación!I134</f>
        <v>0</v>
      </c>
      <c r="L308" s="170">
        <f>Depreciación!J134</f>
        <v>72.95859999999999</v>
      </c>
      <c r="M308" s="170">
        <f>Depreciación!K134</f>
        <v>123.13050714285713</v>
      </c>
      <c r="N308" s="170">
        <f>Depreciación!L134</f>
        <v>123.13050714285713</v>
      </c>
      <c r="O308" s="170">
        <f>Depreciación!M134</f>
        <v>123.13050714285713</v>
      </c>
      <c r="P308" s="170">
        <f>Depreciación!N134</f>
        <v>123.13050714285713</v>
      </c>
    </row>
    <row r="309" spans="2:16" ht="13" hidden="1" outlineLevel="1" x14ac:dyDescent="0.3">
      <c r="B309" s="7"/>
      <c r="C309" s="4" t="s">
        <v>388</v>
      </c>
      <c r="D309" s="6" t="s">
        <v>322</v>
      </c>
      <c r="E309" s="6" t="s">
        <v>56</v>
      </c>
      <c r="F309" s="67">
        <f t="shared" si="29"/>
        <v>5938.9972703333333</v>
      </c>
      <c r="H309" s="170">
        <f>Depreciación!F135</f>
        <v>0</v>
      </c>
      <c r="I309" s="170">
        <f>Depreciación!G135</f>
        <v>0</v>
      </c>
      <c r="J309" s="170">
        <f>Depreciación!H135</f>
        <v>0</v>
      </c>
      <c r="K309" s="170">
        <f>Depreciación!I135</f>
        <v>0</v>
      </c>
      <c r="L309" s="170">
        <f>Depreciación!J135</f>
        <v>766.37770766666665</v>
      </c>
      <c r="M309" s="170">
        <f>Depreciación!K135</f>
        <v>1293.1548906666665</v>
      </c>
      <c r="N309" s="170">
        <f>Depreciación!L135</f>
        <v>1293.1548906666665</v>
      </c>
      <c r="O309" s="170">
        <f>Depreciación!M135</f>
        <v>1293.1548906666665</v>
      </c>
      <c r="P309" s="170">
        <f>Depreciación!N135</f>
        <v>1293.1548906666665</v>
      </c>
    </row>
    <row r="310" spans="2:16" ht="13" hidden="1" outlineLevel="1" x14ac:dyDescent="0.3">
      <c r="B310" s="7"/>
      <c r="C310" s="4" t="s">
        <v>389</v>
      </c>
      <c r="D310" s="6" t="s">
        <v>322</v>
      </c>
      <c r="E310" s="6" t="s">
        <v>56</v>
      </c>
      <c r="F310" s="67">
        <f t="shared" si="29"/>
        <v>456.77124766666657</v>
      </c>
      <c r="H310" s="170">
        <f>Depreciación!F136</f>
        <v>0</v>
      </c>
      <c r="I310" s="170">
        <f>Depreciación!G136</f>
        <v>0</v>
      </c>
      <c r="J310" s="170">
        <f>Depreciación!H136</f>
        <v>0</v>
      </c>
      <c r="K310" s="170">
        <f>Depreciación!I136</f>
        <v>0</v>
      </c>
      <c r="L310" s="170">
        <f>Depreciación!J136</f>
        <v>58.932871666666657</v>
      </c>
      <c r="M310" s="170">
        <f>Depreciación!K136</f>
        <v>99.459593999999981</v>
      </c>
      <c r="N310" s="170">
        <f>Depreciación!L136</f>
        <v>99.459593999999981</v>
      </c>
      <c r="O310" s="170">
        <f>Depreciación!M136</f>
        <v>99.459593999999981</v>
      </c>
      <c r="P310" s="170">
        <f>Depreciación!N136</f>
        <v>99.459593999999981</v>
      </c>
    </row>
    <row r="311" spans="2:16" ht="13" hidden="1" outlineLevel="1" x14ac:dyDescent="0.3">
      <c r="B311" s="7"/>
      <c r="C311" s="4" t="s">
        <v>349</v>
      </c>
      <c r="D311" s="6" t="s">
        <v>322</v>
      </c>
      <c r="E311" s="6" t="s">
        <v>56</v>
      </c>
      <c r="F311" s="67">
        <f t="shared" si="29"/>
        <v>875.29289999999992</v>
      </c>
      <c r="H311" s="170">
        <f>Depreciación!F137</f>
        <v>0</v>
      </c>
      <c r="I311" s="170">
        <f>Depreciación!G137</f>
        <v>0</v>
      </c>
      <c r="J311" s="170">
        <f>Depreciación!H137</f>
        <v>0</v>
      </c>
      <c r="K311" s="170">
        <f>Depreciación!I137</f>
        <v>41.680614285714285</v>
      </c>
      <c r="L311" s="170">
        <f>Depreciación!J137</f>
        <v>166.72245714285714</v>
      </c>
      <c r="M311" s="170">
        <f>Depreciación!K137</f>
        <v>166.72245714285714</v>
      </c>
      <c r="N311" s="170">
        <f>Depreciación!L137</f>
        <v>166.72245714285714</v>
      </c>
      <c r="O311" s="170">
        <f>Depreciación!M137</f>
        <v>166.72245714285714</v>
      </c>
      <c r="P311" s="170">
        <f>Depreciación!N137</f>
        <v>166.72245714285714</v>
      </c>
    </row>
    <row r="312" spans="2:16" ht="13" hidden="1" outlineLevel="1" x14ac:dyDescent="0.3">
      <c r="B312" s="7"/>
      <c r="C312" s="4" t="s">
        <v>390</v>
      </c>
      <c r="D312" s="6" t="s">
        <v>322</v>
      </c>
      <c r="E312" s="6" t="s">
        <v>56</v>
      </c>
      <c r="F312" s="67">
        <f t="shared" si="29"/>
        <v>1551.1160154444444</v>
      </c>
      <c r="H312" s="170">
        <f>Depreciación!F138</f>
        <v>0</v>
      </c>
      <c r="I312" s="170">
        <f>Depreciación!G138</f>
        <v>0</v>
      </c>
      <c r="J312" s="170">
        <f>Depreciación!H138</f>
        <v>0</v>
      </c>
      <c r="K312" s="170">
        <f>Depreciación!I138</f>
        <v>0</v>
      </c>
      <c r="L312" s="170">
        <f>Depreciación!J138</f>
        <v>62.25163633333333</v>
      </c>
      <c r="M312" s="170">
        <f>Depreciación!K138</f>
        <v>372.04515311111118</v>
      </c>
      <c r="N312" s="170">
        <f>Depreciación!L138</f>
        <v>372.27307533333334</v>
      </c>
      <c r="O312" s="170">
        <f>Depreciación!M138</f>
        <v>372.27307533333334</v>
      </c>
      <c r="P312" s="170">
        <f>Depreciación!N138</f>
        <v>372.27307533333334</v>
      </c>
    </row>
    <row r="313" spans="2:16" ht="13" hidden="1" outlineLevel="1" x14ac:dyDescent="0.3">
      <c r="B313" s="7"/>
      <c r="C313" s="4" t="s">
        <v>391</v>
      </c>
      <c r="D313" s="6" t="s">
        <v>322</v>
      </c>
      <c r="E313" s="6" t="s">
        <v>56</v>
      </c>
      <c r="F313" s="67">
        <f t="shared" si="29"/>
        <v>93.173335714285713</v>
      </c>
      <c r="H313" s="170">
        <f>Depreciación!F139</f>
        <v>0</v>
      </c>
      <c r="I313" s="170">
        <f>Depreciación!G139</f>
        <v>0</v>
      </c>
      <c r="J313" s="170">
        <f>Depreciación!H139</f>
        <v>0</v>
      </c>
      <c r="K313" s="170">
        <f>Depreciación!I139</f>
        <v>0</v>
      </c>
      <c r="L313" s="170">
        <f>Depreciación!J139</f>
        <v>0</v>
      </c>
      <c r="M313" s="170">
        <f>Depreciación!K139</f>
        <v>0</v>
      </c>
      <c r="N313" s="170">
        <f>Depreciación!L139</f>
        <v>31.057778571428571</v>
      </c>
      <c r="O313" s="170">
        <f>Depreciación!M139</f>
        <v>31.057778571428571</v>
      </c>
      <c r="P313" s="170">
        <f>Depreciación!N139</f>
        <v>31.057778571428571</v>
      </c>
    </row>
    <row r="314" spans="2:16" ht="13" hidden="1" outlineLevel="1" x14ac:dyDescent="0.3">
      <c r="B314" s="7"/>
      <c r="C314" s="4" t="s">
        <v>392</v>
      </c>
      <c r="D314" s="6" t="s">
        <v>322</v>
      </c>
      <c r="E314" s="6" t="s">
        <v>56</v>
      </c>
      <c r="F314" s="67">
        <f t="shared" si="29"/>
        <v>2290.4438245555557</v>
      </c>
      <c r="H314" s="170">
        <f>Depreciación!F140</f>
        <v>0</v>
      </c>
      <c r="I314" s="170">
        <f>Depreciación!G140</f>
        <v>0</v>
      </c>
      <c r="J314" s="170">
        <f>Depreciación!H140</f>
        <v>0</v>
      </c>
      <c r="K314" s="170">
        <f>Depreciación!I140</f>
        <v>0</v>
      </c>
      <c r="L314" s="170">
        <f>Depreciación!J140</f>
        <v>0</v>
      </c>
      <c r="M314" s="170">
        <f>Depreciación!K140</f>
        <v>497.92257055555558</v>
      </c>
      <c r="N314" s="170">
        <f>Depreciación!L140</f>
        <v>597.50708466666663</v>
      </c>
      <c r="O314" s="170">
        <f>Depreciación!M140</f>
        <v>597.50708466666663</v>
      </c>
      <c r="P314" s="170">
        <f>Depreciación!N140</f>
        <v>597.50708466666663</v>
      </c>
    </row>
    <row r="315" spans="2:16" ht="13" hidden="1" outlineLevel="1" x14ac:dyDescent="0.3">
      <c r="B315" s="7"/>
      <c r="C315" s="4" t="s">
        <v>393</v>
      </c>
      <c r="D315" s="6" t="s">
        <v>322</v>
      </c>
      <c r="E315" s="6" t="s">
        <v>56</v>
      </c>
      <c r="F315" s="67">
        <f t="shared" si="29"/>
        <v>27.216180952380952</v>
      </c>
      <c r="H315" s="170">
        <f>Depreciación!F141</f>
        <v>0</v>
      </c>
      <c r="I315" s="170">
        <f>Depreciación!G141</f>
        <v>0</v>
      </c>
      <c r="J315" s="170">
        <f>Depreciación!H141</f>
        <v>0</v>
      </c>
      <c r="K315" s="170">
        <f>Depreciación!I141</f>
        <v>0</v>
      </c>
      <c r="L315" s="170">
        <f>Depreciación!J141</f>
        <v>2.0935523809523806</v>
      </c>
      <c r="M315" s="170">
        <f>Depreciación!K141</f>
        <v>6.2806571428571427</v>
      </c>
      <c r="N315" s="170">
        <f>Depreciación!L141</f>
        <v>6.2806571428571427</v>
      </c>
      <c r="O315" s="170">
        <f>Depreciación!M141</f>
        <v>6.2806571428571427</v>
      </c>
      <c r="P315" s="170">
        <f>Depreciación!N141</f>
        <v>6.2806571428571427</v>
      </c>
    </row>
    <row r="316" spans="2:16" ht="13" hidden="1" outlineLevel="1" x14ac:dyDescent="0.3">
      <c r="B316" s="7"/>
      <c r="C316" s="4" t="s">
        <v>394</v>
      </c>
      <c r="D316" s="6" t="s">
        <v>322</v>
      </c>
      <c r="E316" s="6" t="s">
        <v>56</v>
      </c>
      <c r="F316" s="67">
        <f t="shared" si="29"/>
        <v>106.03545000000001</v>
      </c>
      <c r="H316" s="170">
        <f>Depreciación!F142</f>
        <v>0</v>
      </c>
      <c r="I316" s="170">
        <f>Depreciación!G142</f>
        <v>0</v>
      </c>
      <c r="J316" s="170">
        <f>Depreciación!H142</f>
        <v>0</v>
      </c>
      <c r="K316" s="170">
        <f>Depreciación!I142</f>
        <v>0</v>
      </c>
      <c r="L316" s="170">
        <f>Depreciación!J142</f>
        <v>17.672575000000002</v>
      </c>
      <c r="M316" s="170">
        <f>Depreciación!K142</f>
        <v>35.345150000000004</v>
      </c>
      <c r="N316" s="170">
        <f>Depreciación!L142</f>
        <v>35.345150000000004</v>
      </c>
      <c r="O316" s="170">
        <f>Depreciación!M142</f>
        <v>17.672575000000013</v>
      </c>
      <c r="P316" s="170">
        <f>Depreciación!N142</f>
        <v>0</v>
      </c>
    </row>
    <row r="317" spans="2:16" ht="13" hidden="1" outlineLevel="1" x14ac:dyDescent="0.3">
      <c r="B317" s="7"/>
      <c r="C317" s="4" t="s">
        <v>395</v>
      </c>
      <c r="D317" s="6" t="s">
        <v>322</v>
      </c>
      <c r="E317" s="6" t="s">
        <v>56</v>
      </c>
      <c r="F317" s="67">
        <f t="shared" si="29"/>
        <v>3795.63058</v>
      </c>
      <c r="H317" s="170">
        <f>Depreciación!F143</f>
        <v>0</v>
      </c>
      <c r="I317" s="170">
        <f>Depreciación!G143</f>
        <v>0</v>
      </c>
      <c r="J317" s="170">
        <f>Depreciación!H143</f>
        <v>0</v>
      </c>
      <c r="K317" s="170">
        <f>Depreciación!I143</f>
        <v>0</v>
      </c>
      <c r="L317" s="170">
        <f>Depreciación!J143</f>
        <v>0</v>
      </c>
      <c r="M317" s="170">
        <f>Depreciación!K143</f>
        <v>0</v>
      </c>
      <c r="N317" s="170">
        <f>Depreciación!L143</f>
        <v>1265.2101933333333</v>
      </c>
      <c r="O317" s="170">
        <f>Depreciación!M143</f>
        <v>1265.2101933333333</v>
      </c>
      <c r="P317" s="170">
        <f>Depreciación!N143</f>
        <v>1265.2101933333333</v>
      </c>
    </row>
    <row r="318" spans="2:16" ht="13" hidden="1" outlineLevel="1" x14ac:dyDescent="0.3">
      <c r="B318" s="7"/>
      <c r="C318" s="4" t="s">
        <v>396</v>
      </c>
      <c r="D318" s="6" t="s">
        <v>322</v>
      </c>
      <c r="E318" s="6" t="s">
        <v>56</v>
      </c>
      <c r="F318" s="67">
        <f t="shared" si="29"/>
        <v>45.542357250000002</v>
      </c>
      <c r="H318" s="170">
        <f>Depreciación!F144</f>
        <v>0</v>
      </c>
      <c r="I318" s="170">
        <f>Depreciación!G144</f>
        <v>0</v>
      </c>
      <c r="J318" s="170">
        <f>Depreciación!H144</f>
        <v>0</v>
      </c>
      <c r="K318" s="170">
        <f>Depreciación!I144</f>
        <v>0</v>
      </c>
      <c r="L318" s="170">
        <f>Depreciación!J144</f>
        <v>0</v>
      </c>
      <c r="M318" s="170">
        <f>Depreciación!K144</f>
        <v>0</v>
      </c>
      <c r="N318" s="170">
        <f>Depreciación!L144</f>
        <v>0</v>
      </c>
      <c r="O318" s="170">
        <f>Depreciación!M144</f>
        <v>3.50325825</v>
      </c>
      <c r="P318" s="170">
        <f>Depreciación!N144</f>
        <v>42.039099</v>
      </c>
    </row>
    <row r="319" spans="2:16" ht="13" hidden="1" outlineLevel="1" x14ac:dyDescent="0.3">
      <c r="B319" s="7"/>
      <c r="C319" s="4" t="s">
        <v>385</v>
      </c>
      <c r="D319" s="6" t="s">
        <v>322</v>
      </c>
      <c r="E319" s="6" t="s">
        <v>56</v>
      </c>
      <c r="F319" s="67">
        <f t="shared" si="29"/>
        <v>126.97690666666665</v>
      </c>
      <c r="H319" s="170">
        <f>Depreciación!F145</f>
        <v>0</v>
      </c>
      <c r="I319" s="170">
        <f>Depreciación!G145</f>
        <v>0</v>
      </c>
      <c r="J319" s="170">
        <f>Depreciación!H145</f>
        <v>0</v>
      </c>
      <c r="K319" s="170">
        <f>Depreciación!I145</f>
        <v>0</v>
      </c>
      <c r="L319" s="170">
        <f>Depreciación!J145</f>
        <v>0</v>
      </c>
      <c r="M319" s="170">
        <f>Depreciación!K145</f>
        <v>0</v>
      </c>
      <c r="N319" s="170">
        <f>Depreciación!L145</f>
        <v>18.13955809523809</v>
      </c>
      <c r="O319" s="170">
        <f>Depreciación!M145</f>
        <v>54.418674285714282</v>
      </c>
      <c r="P319" s="170">
        <f>Depreciación!N145</f>
        <v>54.418674285714282</v>
      </c>
    </row>
    <row r="320" spans="2:16" ht="13" hidden="1" outlineLevel="1" x14ac:dyDescent="0.3">
      <c r="B320" s="7"/>
      <c r="C320" s="4" t="s">
        <v>349</v>
      </c>
      <c r="D320" s="6" t="s">
        <v>322</v>
      </c>
      <c r="E320" s="6" t="s">
        <v>56</v>
      </c>
      <c r="F320" s="67">
        <f t="shared" si="29"/>
        <v>561.97898273809506</v>
      </c>
      <c r="H320" s="170">
        <f>Depreciación!F146</f>
        <v>0</v>
      </c>
      <c r="I320" s="170">
        <f>Depreciación!G146</f>
        <v>0</v>
      </c>
      <c r="J320" s="170">
        <f>Depreciación!H146</f>
        <v>0</v>
      </c>
      <c r="K320" s="170">
        <f>Depreciación!I146</f>
        <v>0</v>
      </c>
      <c r="L320" s="170">
        <f>Depreciación!J146</f>
        <v>0</v>
      </c>
      <c r="M320" s="170">
        <f>Depreciación!K146</f>
        <v>0</v>
      </c>
      <c r="N320" s="170">
        <f>Depreciación!L146</f>
        <v>109.54102559523805</v>
      </c>
      <c r="O320" s="170">
        <f>Depreciación!M146</f>
        <v>226.21897857142852</v>
      </c>
      <c r="P320" s="170">
        <f>Depreciación!N146</f>
        <v>226.21897857142852</v>
      </c>
    </row>
    <row r="321" spans="2:16" ht="13" hidden="1" outlineLevel="1" x14ac:dyDescent="0.3">
      <c r="B321" s="7"/>
      <c r="C321" s="4" t="s">
        <v>397</v>
      </c>
      <c r="D321" s="6" t="s">
        <v>322</v>
      </c>
      <c r="E321" s="6" t="s">
        <v>56</v>
      </c>
      <c r="F321" s="67">
        <f t="shared" si="29"/>
        <v>23.305620277777777</v>
      </c>
      <c r="H321" s="170">
        <f>Depreciación!F147</f>
        <v>0</v>
      </c>
      <c r="I321" s="170">
        <f>Depreciación!G147</f>
        <v>0</v>
      </c>
      <c r="J321" s="170">
        <f>Depreciación!H147</f>
        <v>0</v>
      </c>
      <c r="K321" s="170">
        <f>Depreciación!I147</f>
        <v>0</v>
      </c>
      <c r="L321" s="170">
        <f>Depreciación!J147</f>
        <v>0</v>
      </c>
      <c r="M321" s="170">
        <f>Depreciación!K147</f>
        <v>0</v>
      </c>
      <c r="N321" s="170">
        <f>Depreciación!L147</f>
        <v>4.583113611111111</v>
      </c>
      <c r="O321" s="170">
        <f>Depreciación!M147</f>
        <v>9.3612533333333339</v>
      </c>
      <c r="P321" s="170">
        <f>Depreciación!N147</f>
        <v>9.3612533333333339</v>
      </c>
    </row>
    <row r="322" spans="2:16" ht="13" hidden="1" outlineLevel="1" x14ac:dyDescent="0.3">
      <c r="B322" s="7"/>
      <c r="C322" s="4" t="s">
        <v>390</v>
      </c>
      <c r="D322" s="6" t="s">
        <v>322</v>
      </c>
      <c r="E322" s="6" t="s">
        <v>56</v>
      </c>
      <c r="F322" s="67">
        <f t="shared" si="29"/>
        <v>541.39235094444439</v>
      </c>
      <c r="H322" s="170">
        <f>Depreciación!F148</f>
        <v>0</v>
      </c>
      <c r="I322" s="170">
        <f>Depreciación!G148</f>
        <v>0</v>
      </c>
      <c r="J322" s="170">
        <f>Depreciación!H148</f>
        <v>0</v>
      </c>
      <c r="K322" s="170">
        <f>Depreciación!I148</f>
        <v>0</v>
      </c>
      <c r="L322" s="170">
        <f>Depreciación!J148</f>
        <v>0</v>
      </c>
      <c r="M322" s="170">
        <f>Depreciación!K148</f>
        <v>0</v>
      </c>
      <c r="N322" s="170">
        <f>Depreciación!L148</f>
        <v>105.74506827777778</v>
      </c>
      <c r="O322" s="170">
        <f>Depreciación!M148</f>
        <v>217.82364133333334</v>
      </c>
      <c r="P322" s="170">
        <f>Depreciación!N148</f>
        <v>217.82364133333334</v>
      </c>
    </row>
    <row r="323" spans="2:16" ht="13" hidden="1" outlineLevel="1" x14ac:dyDescent="0.3">
      <c r="B323" s="7"/>
      <c r="C323" s="4" t="s">
        <v>398</v>
      </c>
      <c r="D323" s="6" t="s">
        <v>322</v>
      </c>
      <c r="E323" s="6" t="s">
        <v>56</v>
      </c>
      <c r="F323" s="67">
        <f t="shared" si="29"/>
        <v>63.565357142857145</v>
      </c>
      <c r="H323" s="170">
        <f>Depreciación!F149</f>
        <v>0</v>
      </c>
      <c r="I323" s="170">
        <f>Depreciación!G149</f>
        <v>0</v>
      </c>
      <c r="J323" s="170">
        <f>Depreciación!H149</f>
        <v>0</v>
      </c>
      <c r="K323" s="170">
        <f>Depreciación!I149</f>
        <v>0</v>
      </c>
      <c r="L323" s="170">
        <f>Depreciación!J149</f>
        <v>0</v>
      </c>
      <c r="M323" s="170">
        <f>Depreciación!K149</f>
        <v>0</v>
      </c>
      <c r="N323" s="170">
        <f>Depreciación!L149</f>
        <v>12.713071428571428</v>
      </c>
      <c r="O323" s="170">
        <f>Depreciación!M149</f>
        <v>25.426142857142857</v>
      </c>
      <c r="P323" s="170">
        <f>Depreciación!N149</f>
        <v>25.426142857142857</v>
      </c>
    </row>
    <row r="324" spans="2:16" ht="13" hidden="1" outlineLevel="1" x14ac:dyDescent="0.3">
      <c r="B324" s="7"/>
      <c r="C324" s="4" t="s">
        <v>399</v>
      </c>
      <c r="D324" s="6" t="s">
        <v>322</v>
      </c>
      <c r="E324" s="6" t="s">
        <v>56</v>
      </c>
      <c r="F324" s="67">
        <f t="shared" si="29"/>
        <v>94.212092023809532</v>
      </c>
      <c r="H324" s="170">
        <f>Depreciación!F150</f>
        <v>0</v>
      </c>
      <c r="I324" s="170">
        <f>Depreciación!G150</f>
        <v>0</v>
      </c>
      <c r="J324" s="170">
        <f>Depreciación!H150</f>
        <v>0</v>
      </c>
      <c r="K324" s="170">
        <f>Depreciación!I150</f>
        <v>0</v>
      </c>
      <c r="L324" s="170">
        <f>Depreciación!J150</f>
        <v>0</v>
      </c>
      <c r="M324" s="170">
        <f>Depreciación!K150</f>
        <v>0</v>
      </c>
      <c r="N324" s="170">
        <f>Depreciación!L150</f>
        <v>17.530409166666665</v>
      </c>
      <c r="O324" s="170">
        <f>Depreciación!M150</f>
        <v>38.34084142857143</v>
      </c>
      <c r="P324" s="170">
        <f>Depreciación!N150</f>
        <v>38.34084142857143</v>
      </c>
    </row>
    <row r="325" spans="2:16" ht="13" hidden="1" outlineLevel="1" x14ac:dyDescent="0.3">
      <c r="B325" s="7"/>
      <c r="C325" s="4" t="s">
        <v>400</v>
      </c>
      <c r="D325" s="6" t="s">
        <v>322</v>
      </c>
      <c r="E325" s="6" t="s">
        <v>56</v>
      </c>
      <c r="F325" s="67">
        <f t="shared" si="29"/>
        <v>17.259810833333333</v>
      </c>
      <c r="H325" s="170">
        <f>Depreciación!F151</f>
        <v>0</v>
      </c>
      <c r="I325" s="170">
        <f>Depreciación!G151</f>
        <v>0</v>
      </c>
      <c r="J325" s="170">
        <f>Depreciación!H151</f>
        <v>0</v>
      </c>
      <c r="K325" s="170">
        <f>Depreciación!I151</f>
        <v>0</v>
      </c>
      <c r="L325" s="170">
        <f>Depreciación!J151</f>
        <v>0</v>
      </c>
      <c r="M325" s="170">
        <f>Depreciación!K151</f>
        <v>0</v>
      </c>
      <c r="N325" s="170">
        <f>Depreciación!L151</f>
        <v>3.2179308333333334</v>
      </c>
      <c r="O325" s="170">
        <f>Depreciación!M151</f>
        <v>7.0209399999999995</v>
      </c>
      <c r="P325" s="170">
        <f>Depreciación!N151</f>
        <v>7.0209399999999995</v>
      </c>
    </row>
    <row r="326" spans="2:16" ht="13" hidden="1" outlineLevel="1" x14ac:dyDescent="0.3">
      <c r="B326" s="7"/>
      <c r="C326" s="4" t="s">
        <v>401</v>
      </c>
      <c r="D326" s="6" t="s">
        <v>322</v>
      </c>
      <c r="E326" s="6" t="s">
        <v>56</v>
      </c>
      <c r="F326" s="67">
        <f t="shared" si="29"/>
        <v>165.16839642857144</v>
      </c>
      <c r="H326" s="170">
        <f>Depreciación!F152</f>
        <v>0</v>
      </c>
      <c r="I326" s="170">
        <f>Depreciación!G152</f>
        <v>0</v>
      </c>
      <c r="J326" s="170">
        <f>Depreciación!H152</f>
        <v>0</v>
      </c>
      <c r="K326" s="170">
        <f>Depreciación!I152</f>
        <v>0</v>
      </c>
      <c r="L326" s="170">
        <f>Depreciación!J152</f>
        <v>0</v>
      </c>
      <c r="M326" s="170">
        <f>Depreciación!K152</f>
        <v>0</v>
      </c>
      <c r="N326" s="170">
        <f>Depreciación!L152</f>
        <v>33.033679285714285</v>
      </c>
      <c r="O326" s="170">
        <f>Depreciación!M152</f>
        <v>66.067358571428571</v>
      </c>
      <c r="P326" s="170">
        <f>Depreciación!N152</f>
        <v>66.067358571428571</v>
      </c>
    </row>
    <row r="327" spans="2:16" ht="13" hidden="1" outlineLevel="1" x14ac:dyDescent="0.3">
      <c r="B327" s="7"/>
      <c r="C327" s="4" t="s">
        <v>402</v>
      </c>
      <c r="D327" s="6" t="s">
        <v>322</v>
      </c>
      <c r="E327" s="6" t="s">
        <v>56</v>
      </c>
      <c r="F327" s="67">
        <f t="shared" si="29"/>
        <v>206.05285714285714</v>
      </c>
      <c r="H327" s="170">
        <f>Depreciación!F153</f>
        <v>0</v>
      </c>
      <c r="I327" s="170">
        <f>Depreciación!G153</f>
        <v>0</v>
      </c>
      <c r="J327" s="170">
        <f>Depreciación!H153</f>
        <v>0</v>
      </c>
      <c r="K327" s="170">
        <f>Depreciación!I153</f>
        <v>0</v>
      </c>
      <c r="L327" s="170">
        <f>Depreciación!J153</f>
        <v>0</v>
      </c>
      <c r="M327" s="170">
        <f>Depreciación!K153</f>
        <v>0</v>
      </c>
      <c r="N327" s="170">
        <f>Depreciación!L153</f>
        <v>41.210571428571427</v>
      </c>
      <c r="O327" s="170">
        <f>Depreciación!M153</f>
        <v>82.421142857142854</v>
      </c>
      <c r="P327" s="170">
        <f>Depreciación!N153</f>
        <v>82.421142857142854</v>
      </c>
    </row>
    <row r="328" spans="2:16" ht="13" hidden="1" outlineLevel="1" x14ac:dyDescent="0.3">
      <c r="B328" s="7"/>
      <c r="C328" s="4" t="s">
        <v>403</v>
      </c>
      <c r="D328" s="6" t="s">
        <v>322</v>
      </c>
      <c r="E328" s="6" t="s">
        <v>56</v>
      </c>
      <c r="F328" s="67">
        <f t="shared" si="29"/>
        <v>126.59368928571429</v>
      </c>
      <c r="H328" s="170">
        <f>Depreciación!F154</f>
        <v>0</v>
      </c>
      <c r="I328" s="170">
        <f>Depreciación!G154</f>
        <v>0</v>
      </c>
      <c r="J328" s="170">
        <f>Depreciación!H154</f>
        <v>0</v>
      </c>
      <c r="K328" s="170">
        <f>Depreciación!I154</f>
        <v>0</v>
      </c>
      <c r="L328" s="170">
        <f>Depreciación!J154</f>
        <v>0</v>
      </c>
      <c r="M328" s="170">
        <f>Depreciación!K154</f>
        <v>0</v>
      </c>
      <c r="N328" s="170">
        <f>Depreciación!L154</f>
        <v>25.318737857142857</v>
      </c>
      <c r="O328" s="170">
        <f>Depreciación!M154</f>
        <v>50.637475714285713</v>
      </c>
      <c r="P328" s="170">
        <f>Depreciación!N154</f>
        <v>50.637475714285713</v>
      </c>
    </row>
    <row r="329" spans="2:16" ht="13" hidden="1" outlineLevel="1" x14ac:dyDescent="0.3">
      <c r="B329" s="7"/>
      <c r="C329" s="4" t="s">
        <v>404</v>
      </c>
      <c r="D329" s="6" t="s">
        <v>322</v>
      </c>
      <c r="E329" s="6" t="s">
        <v>56</v>
      </c>
      <c r="F329" s="67">
        <f t="shared" si="29"/>
        <v>5.8507833333333323</v>
      </c>
      <c r="H329" s="170">
        <f>Depreciación!F155</f>
        <v>0</v>
      </c>
      <c r="I329" s="170">
        <f>Depreciación!G155</f>
        <v>0</v>
      </c>
      <c r="J329" s="170">
        <f>Depreciación!H155</f>
        <v>0</v>
      </c>
      <c r="K329" s="170">
        <f>Depreciación!I155</f>
        <v>0</v>
      </c>
      <c r="L329" s="170">
        <f>Depreciación!J155</f>
        <v>0</v>
      </c>
      <c r="M329" s="170">
        <f>Depreciación!K155</f>
        <v>0</v>
      </c>
      <c r="N329" s="170">
        <f>Depreciación!L155</f>
        <v>1.1701566666666665</v>
      </c>
      <c r="O329" s="170">
        <f>Depreciación!M155</f>
        <v>2.340313333333333</v>
      </c>
      <c r="P329" s="170">
        <f>Depreciación!N155</f>
        <v>2.340313333333333</v>
      </c>
    </row>
    <row r="330" spans="2:16" ht="13" hidden="1" outlineLevel="1" x14ac:dyDescent="0.3">
      <c r="B330" s="7"/>
      <c r="C330" s="4" t="s">
        <v>405</v>
      </c>
      <c r="D330" s="6" t="s">
        <v>322</v>
      </c>
      <c r="E330" s="6" t="s">
        <v>56</v>
      </c>
      <c r="F330" s="67">
        <f t="shared" si="29"/>
        <v>116.4251207142857</v>
      </c>
      <c r="H330" s="170">
        <f>Depreciación!F156</f>
        <v>0</v>
      </c>
      <c r="I330" s="170">
        <f>Depreciación!G156</f>
        <v>0</v>
      </c>
      <c r="J330" s="170">
        <f>Depreciación!H156</f>
        <v>0</v>
      </c>
      <c r="K330" s="170">
        <f>Depreciación!I156</f>
        <v>0</v>
      </c>
      <c r="L330" s="170">
        <f>Depreciación!J156</f>
        <v>0</v>
      </c>
      <c r="M330" s="170">
        <f>Depreciación!K156</f>
        <v>0</v>
      </c>
      <c r="N330" s="170">
        <f>Depreciación!L156</f>
        <v>0</v>
      </c>
      <c r="O330" s="170">
        <f>Depreciación!M156</f>
        <v>38.808373571428568</v>
      </c>
      <c r="P330" s="170">
        <f>Depreciación!N156</f>
        <v>77.616747142857136</v>
      </c>
    </row>
    <row r="331" spans="2:16" ht="13" hidden="1" outlineLevel="1" x14ac:dyDescent="0.3">
      <c r="B331" s="7"/>
      <c r="C331" s="4" t="s">
        <v>406</v>
      </c>
      <c r="D331" s="6" t="s">
        <v>322</v>
      </c>
      <c r="E331" s="6" t="s">
        <v>56</v>
      </c>
      <c r="F331" s="67">
        <f t="shared" si="29"/>
        <v>7.1428571428571423</v>
      </c>
      <c r="H331" s="170">
        <f>Depreciación!F157</f>
        <v>0</v>
      </c>
      <c r="I331" s="170">
        <f>Depreciación!G157</f>
        <v>0</v>
      </c>
      <c r="J331" s="170">
        <f>Depreciación!H157</f>
        <v>0</v>
      </c>
      <c r="K331" s="170">
        <f>Depreciación!I157</f>
        <v>0</v>
      </c>
      <c r="L331" s="170">
        <f>Depreciación!J157</f>
        <v>0</v>
      </c>
      <c r="M331" s="170">
        <f>Depreciación!K157</f>
        <v>0</v>
      </c>
      <c r="N331" s="170">
        <f>Depreciación!L157</f>
        <v>0</v>
      </c>
      <c r="O331" s="170">
        <f>Depreciación!M157</f>
        <v>1.4285714285714284</v>
      </c>
      <c r="P331" s="170">
        <f>Depreciación!N157</f>
        <v>5.7142857142857135</v>
      </c>
    </row>
    <row r="332" spans="2:16" ht="13" hidden="1" outlineLevel="1" x14ac:dyDescent="0.3">
      <c r="B332" s="7"/>
      <c r="C332" s="4" t="s">
        <v>407</v>
      </c>
      <c r="D332" s="6" t="s">
        <v>322</v>
      </c>
      <c r="E332" s="6" t="s">
        <v>56</v>
      </c>
      <c r="F332" s="67">
        <f t="shared" si="29"/>
        <v>236.82151472222222</v>
      </c>
      <c r="H332" s="170">
        <f>Depreciación!F158</f>
        <v>0</v>
      </c>
      <c r="I332" s="170">
        <f>Depreciación!G158</f>
        <v>0</v>
      </c>
      <c r="J332" s="170">
        <f>Depreciación!H158</f>
        <v>0</v>
      </c>
      <c r="K332" s="170">
        <f>Depreciación!I158</f>
        <v>0</v>
      </c>
      <c r="L332" s="170">
        <f>Depreciación!J158</f>
        <v>0</v>
      </c>
      <c r="M332" s="170">
        <f>Depreciación!K158</f>
        <v>0</v>
      </c>
      <c r="N332" s="170">
        <f>Depreciación!L158</f>
        <v>0</v>
      </c>
      <c r="O332" s="170">
        <f>Depreciación!M158</f>
        <v>0</v>
      </c>
      <c r="P332" s="170">
        <f>Depreciación!N158</f>
        <v>236.82151472222222</v>
      </c>
    </row>
    <row r="333" spans="2:16" ht="13" hidden="1" outlineLevel="1" x14ac:dyDescent="0.3">
      <c r="B333" s="7"/>
      <c r="C333" s="4" t="s">
        <v>377</v>
      </c>
      <c r="D333" s="6" t="s">
        <v>322</v>
      </c>
      <c r="E333" s="6" t="s">
        <v>56</v>
      </c>
      <c r="F333" s="67">
        <f t="shared" ref="F333:F347" si="30">+SUM(H333:P333)</f>
        <v>695.52964883333334</v>
      </c>
      <c r="H333" s="170">
        <f>Depreciación!F159</f>
        <v>34.432160833333334</v>
      </c>
      <c r="I333" s="170">
        <f>Depreciación!G159</f>
        <v>82.637186</v>
      </c>
      <c r="J333" s="170">
        <f>Depreciación!H159</f>
        <v>82.637186</v>
      </c>
      <c r="K333" s="170">
        <f>Depreciación!I159</f>
        <v>82.637186</v>
      </c>
      <c r="L333" s="170">
        <f>Depreciación!J159</f>
        <v>82.637186</v>
      </c>
      <c r="M333" s="170">
        <f>Depreciación!K159</f>
        <v>82.637186</v>
      </c>
      <c r="N333" s="170">
        <f>Depreciación!L159</f>
        <v>82.637186</v>
      </c>
      <c r="O333" s="170">
        <f>Depreciación!M159</f>
        <v>82.637186</v>
      </c>
      <c r="P333" s="170">
        <f>Depreciación!N159</f>
        <v>82.637186</v>
      </c>
    </row>
    <row r="334" spans="2:16" ht="13" hidden="1" outlineLevel="1" x14ac:dyDescent="0.3">
      <c r="B334" s="7"/>
      <c r="C334" s="4" t="s">
        <v>326</v>
      </c>
      <c r="D334" s="6" t="s">
        <v>322</v>
      </c>
      <c r="E334" s="6" t="s">
        <v>56</v>
      </c>
      <c r="F334" s="67">
        <f t="shared" si="30"/>
        <v>5.8000499999999997</v>
      </c>
      <c r="H334" s="170">
        <f>Depreciación!F160</f>
        <v>0</v>
      </c>
      <c r="I334" s="170">
        <f>Depreciación!G160</f>
        <v>0.82857857142857139</v>
      </c>
      <c r="J334" s="170">
        <f>Depreciación!H160</f>
        <v>0.82857857142857139</v>
      </c>
      <c r="K334" s="170">
        <f>Depreciación!I160</f>
        <v>0.82857857142857139</v>
      </c>
      <c r="L334" s="170">
        <f>Depreciación!J160</f>
        <v>0.82857857142857139</v>
      </c>
      <c r="M334" s="170">
        <f>Depreciación!K160</f>
        <v>0.82857857142857139</v>
      </c>
      <c r="N334" s="170">
        <f>Depreciación!L160</f>
        <v>0.82857857142857139</v>
      </c>
      <c r="O334" s="170">
        <f>Depreciación!M160</f>
        <v>0.82857857142857139</v>
      </c>
      <c r="P334" s="170">
        <f>Depreciación!N160</f>
        <v>0</v>
      </c>
    </row>
    <row r="335" spans="2:16" ht="13" hidden="1" outlineLevel="1" x14ac:dyDescent="0.3">
      <c r="B335" s="7"/>
      <c r="C335" s="4" t="s">
        <v>451</v>
      </c>
      <c r="D335" s="6" t="s">
        <v>322</v>
      </c>
      <c r="E335" s="6" t="s">
        <v>56</v>
      </c>
      <c r="F335" s="67">
        <f t="shared" si="30"/>
        <v>54.795720000000003</v>
      </c>
      <c r="H335" s="170">
        <f>Depreciación!F161</f>
        <v>0</v>
      </c>
      <c r="I335" s="170">
        <f>Depreciación!G161</f>
        <v>4.5663100000000005</v>
      </c>
      <c r="J335" s="170">
        <f>Depreciación!H161</f>
        <v>7.82796</v>
      </c>
      <c r="K335" s="170">
        <f>Depreciación!I161</f>
        <v>7.82796</v>
      </c>
      <c r="L335" s="170">
        <f>Depreciación!J161</f>
        <v>7.82796</v>
      </c>
      <c r="M335" s="170">
        <f>Depreciación!K161</f>
        <v>7.82796</v>
      </c>
      <c r="N335" s="170">
        <f>Depreciación!L161</f>
        <v>7.82796</v>
      </c>
      <c r="O335" s="170">
        <f>Depreciación!M161</f>
        <v>7.82796</v>
      </c>
      <c r="P335" s="170">
        <f>Depreciación!N161</f>
        <v>3.2616500000000079</v>
      </c>
    </row>
    <row r="336" spans="2:16" ht="13" hidden="1" outlineLevel="1" x14ac:dyDescent="0.3">
      <c r="B336" s="7"/>
      <c r="C336" s="4" t="s">
        <v>452</v>
      </c>
      <c r="D336" s="6" t="s">
        <v>322</v>
      </c>
      <c r="E336" s="6" t="s">
        <v>56</v>
      </c>
      <c r="F336" s="67">
        <f t="shared" si="30"/>
        <v>21.957661785714286</v>
      </c>
      <c r="H336" s="170">
        <f>Depreciación!F162</f>
        <v>0</v>
      </c>
      <c r="I336" s="170">
        <f>Depreciación!G162</f>
        <v>0</v>
      </c>
      <c r="J336" s="170">
        <f>Depreciación!H162</f>
        <v>21.957661785714286</v>
      </c>
      <c r="K336" s="170">
        <f>Depreciación!I162</f>
        <v>0</v>
      </c>
      <c r="L336" s="170">
        <f>Depreciación!J162</f>
        <v>0</v>
      </c>
      <c r="M336" s="170">
        <f>Depreciación!K162</f>
        <v>0</v>
      </c>
      <c r="N336" s="170">
        <f>Depreciación!L162</f>
        <v>0</v>
      </c>
      <c r="O336" s="170">
        <f>Depreciación!M162</f>
        <v>0</v>
      </c>
      <c r="P336" s="170">
        <f>Depreciación!N162</f>
        <v>0</v>
      </c>
    </row>
    <row r="337" spans="2:16" ht="13" hidden="1" outlineLevel="1" x14ac:dyDescent="0.3">
      <c r="B337" s="7"/>
      <c r="C337" s="4" t="s">
        <v>402</v>
      </c>
      <c r="D337" s="6" t="s">
        <v>322</v>
      </c>
      <c r="E337" s="6" t="s">
        <v>56</v>
      </c>
      <c r="F337" s="67">
        <f t="shared" si="30"/>
        <v>434.15626666666657</v>
      </c>
      <c r="H337" s="170">
        <f>Depreciación!F163</f>
        <v>0</v>
      </c>
      <c r="I337" s="170">
        <f>Depreciación!G163</f>
        <v>0</v>
      </c>
      <c r="J337" s="170">
        <f>Depreciación!H163</f>
        <v>0</v>
      </c>
      <c r="K337" s="170">
        <f>Depreciación!I163</f>
        <v>27.134766666666664</v>
      </c>
      <c r="L337" s="170">
        <f>Depreciación!J163</f>
        <v>81.404299999999992</v>
      </c>
      <c r="M337" s="170">
        <f>Depreciación!K163</f>
        <v>81.404299999999992</v>
      </c>
      <c r="N337" s="170">
        <f>Depreciación!L163</f>
        <v>81.404299999999992</v>
      </c>
      <c r="O337" s="170">
        <f>Depreciación!M163</f>
        <v>81.404299999999992</v>
      </c>
      <c r="P337" s="170">
        <f>Depreciación!N163</f>
        <v>81.404299999999992</v>
      </c>
    </row>
    <row r="338" spans="2:16" ht="13" hidden="1" outlineLevel="1" x14ac:dyDescent="0.3">
      <c r="B338" s="7"/>
      <c r="C338" s="4" t="s">
        <v>453</v>
      </c>
      <c r="D338" s="6" t="s">
        <v>322</v>
      </c>
      <c r="E338" s="6" t="s">
        <v>56</v>
      </c>
      <c r="F338" s="67">
        <f t="shared" si="30"/>
        <v>94.609487142857148</v>
      </c>
      <c r="H338" s="170">
        <f>Depreciación!F164</f>
        <v>0</v>
      </c>
      <c r="I338" s="170">
        <f>Depreciación!G164</f>
        <v>0</v>
      </c>
      <c r="J338" s="170">
        <f>Depreciación!H164</f>
        <v>0</v>
      </c>
      <c r="K338" s="170">
        <f>Depreciación!I164</f>
        <v>0</v>
      </c>
      <c r="L338" s="170">
        <f>Depreciación!J164</f>
        <v>0</v>
      </c>
      <c r="M338" s="170">
        <f>Depreciación!K164</f>
        <v>0</v>
      </c>
      <c r="N338" s="170">
        <f>Depreciación!L164</f>
        <v>31.536495714285714</v>
      </c>
      <c r="O338" s="170">
        <f>Depreciación!M164</f>
        <v>31.536495714285714</v>
      </c>
      <c r="P338" s="170">
        <f>Depreciación!N164</f>
        <v>31.536495714285714</v>
      </c>
    </row>
    <row r="339" spans="2:16" ht="13" hidden="1" outlineLevel="1" x14ac:dyDescent="0.3">
      <c r="B339" s="7"/>
      <c r="C339" s="4" t="s">
        <v>454</v>
      </c>
      <c r="D339" s="6" t="s">
        <v>322</v>
      </c>
      <c r="E339" s="6" t="s">
        <v>56</v>
      </c>
      <c r="F339" s="67">
        <f t="shared" si="30"/>
        <v>38.941298333333336</v>
      </c>
      <c r="H339" s="170">
        <f>Depreciación!F165</f>
        <v>0</v>
      </c>
      <c r="I339" s="170">
        <f>Depreciación!G165</f>
        <v>0</v>
      </c>
      <c r="J339" s="170">
        <f>Depreciación!H165</f>
        <v>0</v>
      </c>
      <c r="K339" s="170">
        <f>Depreciación!I165</f>
        <v>0</v>
      </c>
      <c r="L339" s="170">
        <f>Depreciación!J165</f>
        <v>0</v>
      </c>
      <c r="M339" s="170">
        <f>Depreciación!K165</f>
        <v>5.9618423333333341</v>
      </c>
      <c r="N339" s="170">
        <f>Depreciación!L165</f>
        <v>10.993152</v>
      </c>
      <c r="O339" s="170">
        <f>Depreciación!M165</f>
        <v>10.993152</v>
      </c>
      <c r="P339" s="170">
        <f>Depreciación!N165</f>
        <v>10.993152</v>
      </c>
    </row>
    <row r="340" spans="2:16" ht="13" hidden="1" outlineLevel="1" x14ac:dyDescent="0.3">
      <c r="B340" s="7"/>
      <c r="C340" s="4" t="s">
        <v>455</v>
      </c>
      <c r="D340" s="6" t="s">
        <v>322</v>
      </c>
      <c r="E340" s="6" t="s">
        <v>56</v>
      </c>
      <c r="F340" s="67">
        <f t="shared" si="30"/>
        <v>38.13884625</v>
      </c>
      <c r="H340" s="170">
        <f>Depreciación!F166</f>
        <v>0</v>
      </c>
      <c r="I340" s="170">
        <f>Depreciación!G166</f>
        <v>0</v>
      </c>
      <c r="J340" s="170">
        <f>Depreciación!H166</f>
        <v>0</v>
      </c>
      <c r="K340" s="170">
        <f>Depreciación!I166</f>
        <v>0</v>
      </c>
      <c r="L340" s="170">
        <f>Depreciación!J166</f>
        <v>0</v>
      </c>
      <c r="M340" s="170">
        <f>Depreciación!K166</f>
        <v>1.4499787500000001</v>
      </c>
      <c r="N340" s="170">
        <f>Depreciación!L166</f>
        <v>12.229622500000001</v>
      </c>
      <c r="O340" s="170">
        <f>Depreciación!M166</f>
        <v>12.229622500000001</v>
      </c>
      <c r="P340" s="170">
        <f>Depreciación!N166</f>
        <v>12.229622500000001</v>
      </c>
    </row>
    <row r="341" spans="2:16" ht="13" hidden="1" outlineLevel="1" x14ac:dyDescent="0.3">
      <c r="B341" s="7"/>
      <c r="C341" s="4" t="s">
        <v>456</v>
      </c>
      <c r="D341" s="6" t="s">
        <v>322</v>
      </c>
      <c r="E341" s="6" t="s">
        <v>56</v>
      </c>
      <c r="F341" s="67">
        <f t="shared" si="30"/>
        <v>3.3082507222222226</v>
      </c>
      <c r="H341" s="170">
        <f>Depreciación!F167</f>
        <v>0</v>
      </c>
      <c r="I341" s="170">
        <f>Depreciación!G167</f>
        <v>0</v>
      </c>
      <c r="J341" s="170">
        <f>Depreciación!H167</f>
        <v>0</v>
      </c>
      <c r="K341" s="170">
        <f>Depreciación!I167</f>
        <v>0</v>
      </c>
      <c r="L341" s="170">
        <f>Depreciación!J167</f>
        <v>0</v>
      </c>
      <c r="M341" s="170">
        <f>Depreciación!K167</f>
        <v>0</v>
      </c>
      <c r="N341" s="170">
        <f>Depreciación!L167</f>
        <v>0.57038805555555561</v>
      </c>
      <c r="O341" s="170">
        <f>Depreciación!M167</f>
        <v>1.3689313333333335</v>
      </c>
      <c r="P341" s="170">
        <f>Depreciación!N167</f>
        <v>1.3689313333333335</v>
      </c>
    </row>
    <row r="342" spans="2:16" ht="13" hidden="1" outlineLevel="1" x14ac:dyDescent="0.3">
      <c r="B342" s="7"/>
      <c r="C342" s="4" t="s">
        <v>457</v>
      </c>
      <c r="D342" s="6" t="s">
        <v>322</v>
      </c>
      <c r="E342" s="6" t="s">
        <v>56</v>
      </c>
      <c r="F342" s="67">
        <f t="shared" si="30"/>
        <v>115.67572750000001</v>
      </c>
      <c r="H342" s="170">
        <f>Depreciación!F168</f>
        <v>0</v>
      </c>
      <c r="I342" s="170">
        <f>Depreciación!G168</f>
        <v>0</v>
      </c>
      <c r="J342" s="170">
        <f>Depreciación!H168</f>
        <v>0</v>
      </c>
      <c r="K342" s="170">
        <f>Depreciación!I168</f>
        <v>0</v>
      </c>
      <c r="L342" s="170">
        <f>Depreciación!J168</f>
        <v>0</v>
      </c>
      <c r="M342" s="170">
        <f>Depreciación!K168</f>
        <v>0</v>
      </c>
      <c r="N342" s="170">
        <f>Depreciación!L168</f>
        <v>23.1351455</v>
      </c>
      <c r="O342" s="170">
        <f>Depreciación!M168</f>
        <v>46.270291</v>
      </c>
      <c r="P342" s="170">
        <f>Depreciación!N168</f>
        <v>46.270291</v>
      </c>
    </row>
    <row r="343" spans="2:16" ht="13" hidden="1" outlineLevel="1" x14ac:dyDescent="0.3">
      <c r="B343" s="7"/>
      <c r="C343" s="4" t="s">
        <v>458</v>
      </c>
      <c r="D343" s="6" t="s">
        <v>322</v>
      </c>
      <c r="E343" s="6" t="s">
        <v>56</v>
      </c>
      <c r="F343" s="67">
        <f t="shared" si="30"/>
        <v>3.8214285714285712</v>
      </c>
      <c r="H343" s="170">
        <f>Depreciación!F169</f>
        <v>0</v>
      </c>
      <c r="I343" s="170">
        <f>Depreciación!G169</f>
        <v>0</v>
      </c>
      <c r="J343" s="170">
        <f>Depreciación!H169</f>
        <v>0</v>
      </c>
      <c r="K343" s="170">
        <f>Depreciación!I169</f>
        <v>0</v>
      </c>
      <c r="L343" s="170">
        <f>Depreciación!J169</f>
        <v>0</v>
      </c>
      <c r="M343" s="170">
        <f>Depreciación!K169</f>
        <v>0</v>
      </c>
      <c r="N343" s="170">
        <f>Depreciación!L169</f>
        <v>0</v>
      </c>
      <c r="O343" s="170">
        <f>Depreciación!M169</f>
        <v>0</v>
      </c>
      <c r="P343" s="170">
        <f>Depreciación!N169</f>
        <v>3.8214285714285712</v>
      </c>
    </row>
    <row r="344" spans="2:16" ht="13" hidden="1" outlineLevel="1" x14ac:dyDescent="0.3">
      <c r="B344" s="7"/>
      <c r="C344" s="4" t="s">
        <v>459</v>
      </c>
      <c r="D344" s="6" t="s">
        <v>322</v>
      </c>
      <c r="E344" s="6" t="s">
        <v>56</v>
      </c>
      <c r="F344" s="67">
        <f t="shared" si="30"/>
        <v>32.501677666666666</v>
      </c>
      <c r="H344" s="170">
        <f>Depreciación!F170</f>
        <v>0</v>
      </c>
      <c r="I344" s="170">
        <f>Depreciación!G170</f>
        <v>0</v>
      </c>
      <c r="J344" s="170">
        <f>Depreciación!H170</f>
        <v>0</v>
      </c>
      <c r="K344" s="170">
        <f>Depreciación!I170</f>
        <v>0</v>
      </c>
      <c r="L344" s="170">
        <f>Depreciación!J170</f>
        <v>0</v>
      </c>
      <c r="M344" s="170">
        <f>Depreciación!K170</f>
        <v>0</v>
      </c>
      <c r="N344" s="170">
        <f>Depreciación!L170</f>
        <v>0</v>
      </c>
      <c r="O344" s="170">
        <f>Depreciación!M170</f>
        <v>0</v>
      </c>
      <c r="P344" s="170">
        <f>Depreciación!N170</f>
        <v>32.501677666666666</v>
      </c>
    </row>
    <row r="345" spans="2:16" ht="13" hidden="1" outlineLevel="1" x14ac:dyDescent="0.3">
      <c r="B345" s="7"/>
      <c r="C345" s="4" t="s">
        <v>460</v>
      </c>
      <c r="D345" s="6" t="s">
        <v>322</v>
      </c>
      <c r="E345" s="6" t="s">
        <v>56</v>
      </c>
      <c r="F345" s="67">
        <f t="shared" si="30"/>
        <v>13.434681666666666</v>
      </c>
      <c r="H345" s="170">
        <f>Depreciación!F171</f>
        <v>0</v>
      </c>
      <c r="I345" s="170">
        <f>Depreciación!G171</f>
        <v>0</v>
      </c>
      <c r="J345" s="170">
        <f>Depreciación!H171</f>
        <v>0</v>
      </c>
      <c r="K345" s="170">
        <f>Depreciación!I171</f>
        <v>0</v>
      </c>
      <c r="L345" s="170">
        <f>Depreciación!J171</f>
        <v>0</v>
      </c>
      <c r="M345" s="170">
        <f>Depreciación!K171</f>
        <v>0</v>
      </c>
      <c r="N345" s="170">
        <f>Depreciación!L171</f>
        <v>0</v>
      </c>
      <c r="O345" s="170">
        <f>Depreciación!M171</f>
        <v>0</v>
      </c>
      <c r="P345" s="170">
        <f>Depreciación!N171</f>
        <v>13.434681666666666</v>
      </c>
    </row>
    <row r="346" spans="2:16" ht="13" hidden="1" outlineLevel="1" x14ac:dyDescent="0.3">
      <c r="B346" s="7"/>
      <c r="C346" s="4" t="s">
        <v>461</v>
      </c>
      <c r="D346" s="6" t="s">
        <v>322</v>
      </c>
      <c r="E346" s="6" t="s">
        <v>56</v>
      </c>
      <c r="F346" s="67">
        <f t="shared" si="30"/>
        <v>2.8178266666666665</v>
      </c>
      <c r="H346" s="170">
        <f>Depreciación!F172</f>
        <v>0</v>
      </c>
      <c r="I346" s="170">
        <f>Depreciación!G172</f>
        <v>0</v>
      </c>
      <c r="J346" s="170">
        <f>Depreciación!H172</f>
        <v>0</v>
      </c>
      <c r="K346" s="170">
        <f>Depreciación!I172</f>
        <v>0</v>
      </c>
      <c r="L346" s="170">
        <f>Depreciación!J172</f>
        <v>0</v>
      </c>
      <c r="M346" s="170">
        <f>Depreciación!K172</f>
        <v>0</v>
      </c>
      <c r="N346" s="170">
        <f>Depreciación!L172</f>
        <v>0</v>
      </c>
      <c r="O346" s="170">
        <f>Depreciación!M172</f>
        <v>0</v>
      </c>
      <c r="P346" s="170">
        <f>Depreciación!N172</f>
        <v>2.8178266666666665</v>
      </c>
    </row>
    <row r="347" spans="2:16" ht="13" hidden="1" outlineLevel="1" x14ac:dyDescent="0.3">
      <c r="B347" s="7"/>
      <c r="C347" s="4" t="s">
        <v>462</v>
      </c>
      <c r="D347" s="6" t="s">
        <v>322</v>
      </c>
      <c r="E347" s="6" t="s">
        <v>56</v>
      </c>
      <c r="F347" s="67">
        <f t="shared" si="30"/>
        <v>4548.1602162800355</v>
      </c>
      <c r="H347" s="170">
        <f>Depreciación!F173</f>
        <v>0.39988888888888879</v>
      </c>
      <c r="I347" s="170">
        <f>Depreciación!G173</f>
        <v>15.252918228300379</v>
      </c>
      <c r="J347" s="170">
        <f>Depreciación!H173</f>
        <v>261.93128888881046</v>
      </c>
      <c r="K347" s="170">
        <f>Depreciación!I173</f>
        <v>1081.2897947221441</v>
      </c>
      <c r="L347" s="170">
        <f>Depreciación!J173</f>
        <v>1153.6011292449859</v>
      </c>
      <c r="M347" s="170">
        <f>Depreciación!K173</f>
        <v>1105.3124543901351</v>
      </c>
      <c r="N347" s="170">
        <f>Depreciación!L173</f>
        <v>360.1420841389928</v>
      </c>
      <c r="O347" s="170">
        <f>Depreciación!M173</f>
        <v>381.30978638888894</v>
      </c>
      <c r="P347" s="170">
        <f>Depreciación!N173</f>
        <v>188.92087138888891</v>
      </c>
    </row>
    <row r="348" spans="2:16" collapsed="1" x14ac:dyDescent="0.25">
      <c r="H348" s="8"/>
      <c r="I348" s="205"/>
      <c r="J348" s="205"/>
      <c r="K348" s="205"/>
      <c r="L348" s="205"/>
      <c r="M348" s="205"/>
      <c r="N348" s="205"/>
      <c r="O348" s="205"/>
      <c r="P348" s="205"/>
    </row>
    <row r="349" spans="2:16" s="7" customFormat="1" ht="13" x14ac:dyDescent="0.3">
      <c r="C349" s="229" t="s">
        <v>463</v>
      </c>
      <c r="D349" s="257" t="s">
        <v>322</v>
      </c>
      <c r="E349" s="257" t="s">
        <v>56</v>
      </c>
      <c r="F349" s="258">
        <f t="shared" ref="F349" si="31">+SUM(H349:P349)</f>
        <v>116941.28038068886</v>
      </c>
      <c r="G349" s="229"/>
      <c r="H349" s="259">
        <f t="shared" ref="H349:P349" si="32">+SUM(H187:H347)</f>
        <v>186.40027104041835</v>
      </c>
      <c r="I349" s="259">
        <f t="shared" si="32"/>
        <v>1131.4379413348636</v>
      </c>
      <c r="J349" s="259">
        <f t="shared" si="32"/>
        <v>2784.1978460327741</v>
      </c>
      <c r="K349" s="259">
        <f t="shared" si="32"/>
        <v>4914.0692059135454</v>
      </c>
      <c r="L349" s="259">
        <f t="shared" si="32"/>
        <v>9852.4120856762765</v>
      </c>
      <c r="M349" s="259">
        <f t="shared" si="32"/>
        <v>17898.803972139362</v>
      </c>
      <c r="N349" s="259">
        <f t="shared" si="32"/>
        <v>26719.131726990629</v>
      </c>
      <c r="O349" s="259">
        <f t="shared" si="32"/>
        <v>27108.827933706329</v>
      </c>
      <c r="P349" s="259">
        <f t="shared" si="32"/>
        <v>26345.999397854659</v>
      </c>
    </row>
    <row r="350" spans="2:16" x14ac:dyDescent="0.25">
      <c r="H350" s="8"/>
      <c r="I350" s="205"/>
      <c r="J350" s="205"/>
      <c r="K350" s="205"/>
      <c r="L350" s="205"/>
      <c r="M350" s="205"/>
      <c r="N350" s="205"/>
      <c r="O350" s="205"/>
      <c r="P350" s="205"/>
    </row>
    <row r="351" spans="2:16" ht="13" x14ac:dyDescent="0.3">
      <c r="B351" s="3" t="s">
        <v>127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3" spans="2:16" ht="13" x14ac:dyDescent="0.3">
      <c r="B353" s="7" t="s">
        <v>467</v>
      </c>
      <c r="H353" s="8"/>
      <c r="I353" s="205"/>
      <c r="J353" s="205"/>
      <c r="K353" s="205"/>
      <c r="L353" s="205"/>
      <c r="M353" s="205"/>
      <c r="N353" s="205"/>
      <c r="O353" s="205"/>
      <c r="P353" s="205"/>
    </row>
    <row r="354" spans="2:16" hidden="1" outlineLevel="1" x14ac:dyDescent="0.25">
      <c r="C354" s="4" t="s">
        <v>468</v>
      </c>
      <c r="D354" s="6" t="s">
        <v>322</v>
      </c>
      <c r="E354" s="6" t="s">
        <v>56</v>
      </c>
      <c r="F354" s="67">
        <f t="shared" ref="F354:F355" si="33">+SUM(H354:P354)</f>
        <v>40449.53242499999</v>
      </c>
      <c r="H354" s="67">
        <f t="shared" ref="H354:P354" si="34">IF((+H183+G354+IF(H11&lt;0,H11,0))&lt;0,0,(+H183+G354+IF(H11&lt;0,H11,0)))</f>
        <v>423.99929166666669</v>
      </c>
      <c r="I354" s="67">
        <f t="shared" si="34"/>
        <v>1441.5975916666666</v>
      </c>
      <c r="J354" s="67">
        <f t="shared" si="34"/>
        <v>2459.1958916666663</v>
      </c>
      <c r="K354" s="67">
        <f t="shared" si="34"/>
        <v>3476.7941916666659</v>
      </c>
      <c r="L354" s="67">
        <f t="shared" si="34"/>
        <v>4494.3924916666656</v>
      </c>
      <c r="M354" s="67">
        <f t="shared" si="34"/>
        <v>5511.9907916666652</v>
      </c>
      <c r="N354" s="67">
        <f t="shared" si="34"/>
        <v>6529.5890916666649</v>
      </c>
      <c r="O354" s="67">
        <f t="shared" si="34"/>
        <v>7547.1873916666646</v>
      </c>
      <c r="P354" s="67">
        <f t="shared" si="34"/>
        <v>8564.7856916666642</v>
      </c>
    </row>
    <row r="355" spans="2:16" hidden="1" outlineLevel="1" x14ac:dyDescent="0.25">
      <c r="C355" s="4" t="s">
        <v>64</v>
      </c>
      <c r="D355" s="6" t="s">
        <v>322</v>
      </c>
      <c r="E355" s="6" t="s">
        <v>56</v>
      </c>
      <c r="F355" s="67">
        <f t="shared" si="33"/>
        <v>110428.75552500002</v>
      </c>
      <c r="H355" s="67">
        <f>IF((+H184+G355+IF(H12&lt;0,H12,0))&lt;0,0,(+H184+G355+IF(H12&lt;0,H12,0)))</f>
        <v>1157.5341249999999</v>
      </c>
      <c r="I355" s="67">
        <f t="shared" ref="I355:P355" si="35">IF((+I184+H355+IF(I12&lt;0,I12,0))&lt;0,0,(+I184+H355+IF(I12&lt;0,I12,0)))</f>
        <v>3935.6160250000003</v>
      </c>
      <c r="J355" s="67">
        <f t="shared" si="35"/>
        <v>6713.6979250000004</v>
      </c>
      <c r="K355" s="67">
        <f t="shared" si="35"/>
        <v>9491.7798250000014</v>
      </c>
      <c r="L355" s="67">
        <f t="shared" si="35"/>
        <v>12269.861725000002</v>
      </c>
      <c r="M355" s="67">
        <f t="shared" si="35"/>
        <v>15047.943625000004</v>
      </c>
      <c r="N355" s="67">
        <f t="shared" si="35"/>
        <v>17826.025525000005</v>
      </c>
      <c r="O355" s="67">
        <f t="shared" si="35"/>
        <v>20604.107425000006</v>
      </c>
      <c r="P355" s="67">
        <f t="shared" si="35"/>
        <v>23382.189325000007</v>
      </c>
    </row>
    <row r="356" spans="2:16" collapsed="1" x14ac:dyDescent="0.25">
      <c r="H356" s="8"/>
      <c r="I356" s="205"/>
      <c r="J356" s="205"/>
      <c r="K356" s="205"/>
      <c r="L356" s="205"/>
      <c r="M356" s="205"/>
      <c r="N356" s="205"/>
      <c r="O356" s="205"/>
      <c r="P356" s="205"/>
    </row>
    <row r="357" spans="2:16" ht="13" x14ac:dyDescent="0.3">
      <c r="B357" s="7" t="s">
        <v>324</v>
      </c>
    </row>
    <row r="358" spans="2:16" hidden="1" outlineLevel="1" x14ac:dyDescent="0.25">
      <c r="C358" s="4" t="s">
        <v>317</v>
      </c>
      <c r="D358" s="6" t="s">
        <v>322</v>
      </c>
      <c r="E358" s="6" t="s">
        <v>56</v>
      </c>
      <c r="F358" s="67">
        <f t="shared" ref="F358:F365" si="36">+SUM(H358:P358)</f>
        <v>21.077359137885331</v>
      </c>
      <c r="H358" s="67">
        <f t="shared" ref="H358:P358" si="37">IF(-H15&gt;G527,0,
IF((+H187+G358+IF(H15&lt;0,H15,0))&lt;0,0,(+H187+G358+IF(H15&lt;0,H15,0))))</f>
        <v>0</v>
      </c>
      <c r="I358" s="67">
        <f t="shared" si="37"/>
        <v>6.1449975606193391E-2</v>
      </c>
      <c r="J358" s="67">
        <f t="shared" si="37"/>
        <v>0.79885030805769242</v>
      </c>
      <c r="K358" s="67">
        <f t="shared" si="37"/>
        <v>1.5362506405091914</v>
      </c>
      <c r="L358" s="67">
        <f t="shared" si="37"/>
        <v>2.2736509729606906</v>
      </c>
      <c r="M358" s="67">
        <f t="shared" si="37"/>
        <v>3.0110513054121899</v>
      </c>
      <c r="N358" s="67">
        <f t="shared" si="37"/>
        <v>3.7484516378636892</v>
      </c>
      <c r="O358" s="67">
        <f t="shared" si="37"/>
        <v>4.4858519703151885</v>
      </c>
      <c r="P358" s="67">
        <f t="shared" si="37"/>
        <v>5.1618023271604958</v>
      </c>
    </row>
    <row r="359" spans="2:16" hidden="1" outlineLevel="1" x14ac:dyDescent="0.25">
      <c r="C359" s="4" t="s">
        <v>318</v>
      </c>
      <c r="D359" s="6" t="s">
        <v>322</v>
      </c>
      <c r="E359" s="6" t="s">
        <v>56</v>
      </c>
      <c r="F359" s="67">
        <f t="shared" si="36"/>
        <v>2.5312665306848459</v>
      </c>
      <c r="H359" s="67">
        <f t="shared" ref="H359:P359" si="38">IF(-H16&gt;G528,0,
IF((+H188+G359+IF(H16&lt;0,H16,0))&lt;0,0,(+H188+G359+IF(H16&lt;0,H16,0))))</f>
        <v>0</v>
      </c>
      <c r="I359" s="67">
        <f t="shared" si="38"/>
        <v>7.3583329380373409E-3</v>
      </c>
      <c r="J359" s="67">
        <f t="shared" si="38"/>
        <v>9.5658328194485442E-2</v>
      </c>
      <c r="K359" s="67">
        <f t="shared" si="38"/>
        <v>0.18395832345093355</v>
      </c>
      <c r="L359" s="67">
        <f t="shared" si="38"/>
        <v>0.27225831870738165</v>
      </c>
      <c r="M359" s="67">
        <f t="shared" si="38"/>
        <v>0.36055831396382976</v>
      </c>
      <c r="N359" s="67">
        <f t="shared" si="38"/>
        <v>0.44885830922027786</v>
      </c>
      <c r="O359" s="67">
        <f t="shared" si="38"/>
        <v>0.53715830447672597</v>
      </c>
      <c r="P359" s="67">
        <f t="shared" si="38"/>
        <v>0.62545829973317413</v>
      </c>
    </row>
    <row r="360" spans="2:16" hidden="1" outlineLevel="1" x14ac:dyDescent="0.25">
      <c r="C360" s="4" t="s">
        <v>319</v>
      </c>
      <c r="D360" s="6" t="s">
        <v>322</v>
      </c>
      <c r="E360" s="6" t="s">
        <v>56</v>
      </c>
      <c r="F360" s="67">
        <f t="shared" si="36"/>
        <v>231.93297779138103</v>
      </c>
      <c r="H360" s="67">
        <f t="shared" ref="H360:P360" si="39">IF(-H17&gt;G529,0,
IF((+H189+G360+IF(H17&lt;0,H17,0))&lt;0,0,(+H189+G360+IF(H17&lt;0,H17,0))))</f>
        <v>0</v>
      </c>
      <c r="I360" s="67">
        <f t="shared" si="39"/>
        <v>0</v>
      </c>
      <c r="J360" s="67">
        <f t="shared" si="39"/>
        <v>5.3937901811949072</v>
      </c>
      <c r="K360" s="67">
        <f t="shared" si="39"/>
        <v>14.640287634671891</v>
      </c>
      <c r="L360" s="67">
        <f t="shared" si="39"/>
        <v>23.886785088148876</v>
      </c>
      <c r="M360" s="67">
        <f t="shared" si="39"/>
        <v>33.13328254162586</v>
      </c>
      <c r="N360" s="67">
        <f t="shared" si="39"/>
        <v>42.379779995102844</v>
      </c>
      <c r="O360" s="67">
        <f t="shared" si="39"/>
        <v>51.626277448579827</v>
      </c>
      <c r="P360" s="67">
        <f t="shared" si="39"/>
        <v>60.872774902056811</v>
      </c>
    </row>
    <row r="361" spans="2:16" hidden="1" outlineLevel="1" x14ac:dyDescent="0.25">
      <c r="C361" s="4" t="s">
        <v>321</v>
      </c>
      <c r="D361" s="6" t="s">
        <v>322</v>
      </c>
      <c r="E361" s="6" t="s">
        <v>56</v>
      </c>
      <c r="F361" s="67">
        <f t="shared" si="36"/>
        <v>10.338095238095237</v>
      </c>
      <c r="H361" s="67">
        <f t="shared" ref="H361:P361" si="40">IF(-H18&gt;G530,0,
IF((+H190+G361+IF(H18&lt;0,H18,0))&lt;0,0,(+H190+G361+IF(H18&lt;0,H18,0))))</f>
        <v>0</v>
      </c>
      <c r="I361" s="67">
        <f t="shared" si="40"/>
        <v>0</v>
      </c>
      <c r="J361" s="67">
        <f t="shared" si="40"/>
        <v>0</v>
      </c>
      <c r="K361" s="67">
        <f t="shared" si="40"/>
        <v>0</v>
      </c>
      <c r="L361" s="67">
        <f t="shared" si="40"/>
        <v>0</v>
      </c>
      <c r="M361" s="67">
        <f t="shared" si="40"/>
        <v>0.79523809523809508</v>
      </c>
      <c r="N361" s="67">
        <f t="shared" si="40"/>
        <v>1.9880952380952379</v>
      </c>
      <c r="O361" s="67">
        <f t="shared" si="40"/>
        <v>3.1809523809523808</v>
      </c>
      <c r="P361" s="67">
        <f t="shared" si="40"/>
        <v>4.3738095238095234</v>
      </c>
    </row>
    <row r="362" spans="2:16" hidden="1" outlineLevel="1" x14ac:dyDescent="0.25">
      <c r="C362" s="223" t="s">
        <v>344</v>
      </c>
      <c r="D362" s="254" t="s">
        <v>322</v>
      </c>
      <c r="E362" s="254" t="s">
        <v>56</v>
      </c>
      <c r="F362" s="255">
        <f t="shared" si="36"/>
        <v>536.15203294541482</v>
      </c>
      <c r="G362" s="223"/>
      <c r="H362" s="255">
        <f t="shared" ref="H362:O362" si="41">IF(-H19&gt;G531,0,
IF((+H191+G362+IF(H19&lt;0,H19,0))&lt;0,0,(+H191+G362+IF(H19&lt;0,H19,0))))</f>
        <v>1.0949690719021639</v>
      </c>
      <c r="I362" s="255">
        <f t="shared" si="41"/>
        <v>11.575026573341647</v>
      </c>
      <c r="J362" s="255">
        <f t="shared" si="41"/>
        <v>24.121656466078214</v>
      </c>
      <c r="K362" s="255">
        <f t="shared" si="41"/>
        <v>49.330095789333825</v>
      </c>
      <c r="L362" s="255">
        <f t="shared" si="41"/>
        <v>74.63254249354182</v>
      </c>
      <c r="M362" s="255">
        <f t="shared" si="41"/>
        <v>99.934989197749815</v>
      </c>
      <c r="N362" s="255">
        <f t="shared" si="41"/>
        <v>125.23743590195781</v>
      </c>
      <c r="O362" s="255">
        <f t="shared" si="41"/>
        <v>150.22531745150954</v>
      </c>
      <c r="P362" s="255">
        <f>IF(-P19&gt;O531,0,
IF((+P191+O362+IF(P19&lt;0,P19,0))&lt;0,0,(+P191+O362+IF(P19&lt;0,P19,0))))</f>
        <v>0</v>
      </c>
    </row>
    <row r="363" spans="2:16" hidden="1" outlineLevel="1" x14ac:dyDescent="0.25">
      <c r="C363" s="223" t="s">
        <v>345</v>
      </c>
      <c r="D363" s="254" t="s">
        <v>322</v>
      </c>
      <c r="E363" s="254" t="s">
        <v>56</v>
      </c>
      <c r="F363" s="255">
        <f t="shared" si="36"/>
        <v>4337.0762806468574</v>
      </c>
      <c r="G363" s="223"/>
      <c r="H363" s="255">
        <f t="shared" ref="H363:P363" si="42">IF(-H20&gt;G532,0,
IF((+H192+G363+IF(H20&lt;0,H20,0))&lt;0,0,(+H192+G363+IF(H20&lt;0,H20,0))))</f>
        <v>3.1275442615894353</v>
      </c>
      <c r="I363" s="255">
        <f t="shared" si="42"/>
        <v>67.178198503690609</v>
      </c>
      <c r="J363" s="255">
        <f t="shared" si="42"/>
        <v>193.4067414263485</v>
      </c>
      <c r="K363" s="255">
        <f t="shared" si="42"/>
        <v>350.42841143632819</v>
      </c>
      <c r="L363" s="255">
        <f t="shared" si="42"/>
        <v>514.80949678122863</v>
      </c>
      <c r="M363" s="255">
        <f t="shared" si="42"/>
        <v>668.67318918962121</v>
      </c>
      <c r="N363" s="255">
        <f t="shared" si="42"/>
        <v>831.19060844448313</v>
      </c>
      <c r="O363" s="255">
        <f t="shared" si="42"/>
        <v>992.02594198157362</v>
      </c>
      <c r="P363" s="255">
        <f t="shared" si="42"/>
        <v>716.23614862199474</v>
      </c>
    </row>
    <row r="364" spans="2:16" hidden="1" outlineLevel="1" x14ac:dyDescent="0.25">
      <c r="C364" s="223" t="s">
        <v>346</v>
      </c>
      <c r="D364" s="254" t="s">
        <v>322</v>
      </c>
      <c r="E364" s="254" t="s">
        <v>56</v>
      </c>
      <c r="F364" s="255">
        <f t="shared" si="36"/>
        <v>493.32603750000004</v>
      </c>
      <c r="G364" s="223"/>
      <c r="H364" s="255">
        <f t="shared" ref="H364:P364" si="43">IF(-H21&gt;G533,0,
IF((+H193+G364+IF(H21&lt;0,H21,0))&lt;0,0,(+H193+G364+IF(H21&lt;0,H21,0))))</f>
        <v>0</v>
      </c>
      <c r="I364" s="255">
        <f t="shared" si="43"/>
        <v>19.608449583333336</v>
      </c>
      <c r="J364" s="255">
        <f t="shared" si="43"/>
        <v>53.222934583333341</v>
      </c>
      <c r="K364" s="255">
        <f t="shared" si="43"/>
        <v>67.228970000000004</v>
      </c>
      <c r="L364" s="255">
        <f t="shared" si="43"/>
        <v>67.228970000000004</v>
      </c>
      <c r="M364" s="255">
        <f t="shared" si="43"/>
        <v>69.022581111111108</v>
      </c>
      <c r="N364" s="255">
        <f t="shared" si="43"/>
        <v>70.979247777777772</v>
      </c>
      <c r="O364" s="255">
        <f t="shared" si="43"/>
        <v>72.935914444444435</v>
      </c>
      <c r="P364" s="255">
        <f t="shared" si="43"/>
        <v>73.098969999999994</v>
      </c>
    </row>
    <row r="365" spans="2:16" hidden="1" outlineLevel="1" x14ac:dyDescent="0.25">
      <c r="C365" s="223" t="s">
        <v>347</v>
      </c>
      <c r="D365" s="254" t="s">
        <v>322</v>
      </c>
      <c r="E365" s="254" t="s">
        <v>56</v>
      </c>
      <c r="F365" s="255">
        <f t="shared" si="36"/>
        <v>1721.1505752634819</v>
      </c>
      <c r="G365" s="223"/>
      <c r="H365" s="255">
        <f t="shared" ref="H365:P365" si="44">IF(-H22&gt;G534,0,
IF((+H194+G365+IF(H22&lt;0,H22,0))&lt;0,0,(+H194+G365+IF(H22&lt;0,H22,0))))</f>
        <v>0</v>
      </c>
      <c r="I365" s="255">
        <f t="shared" si="44"/>
        <v>18.494818441793839</v>
      </c>
      <c r="J365" s="255">
        <f t="shared" si="44"/>
        <v>46.491033404631366</v>
      </c>
      <c r="K365" s="255">
        <f t="shared" si="44"/>
        <v>96.393703192716941</v>
      </c>
      <c r="L365" s="255">
        <f t="shared" si="44"/>
        <v>154.80576559389775</v>
      </c>
      <c r="M365" s="255">
        <f t="shared" si="44"/>
        <v>230.77905654864998</v>
      </c>
      <c r="N365" s="255">
        <f t="shared" si="44"/>
        <v>311.67329988435461</v>
      </c>
      <c r="O365" s="255">
        <f t="shared" si="44"/>
        <v>392.56754322005924</v>
      </c>
      <c r="P365" s="255">
        <f t="shared" si="44"/>
        <v>469.94535497737814</v>
      </c>
    </row>
    <row r="366" spans="2:16" collapsed="1" x14ac:dyDescent="0.25">
      <c r="D366" s="6"/>
      <c r="E366" s="6"/>
      <c r="F366" s="67"/>
      <c r="H366" s="265"/>
      <c r="I366" s="265"/>
      <c r="J366" s="265"/>
      <c r="K366" s="265"/>
      <c r="L366" s="265"/>
      <c r="M366" s="265"/>
      <c r="N366" s="265"/>
      <c r="O366" s="265"/>
      <c r="P366" s="67"/>
    </row>
    <row r="367" spans="2:16" ht="13" x14ac:dyDescent="0.3">
      <c r="B367" s="7" t="s">
        <v>320</v>
      </c>
      <c r="C367" s="71"/>
      <c r="D367" s="76"/>
      <c r="E367" s="76"/>
      <c r="F367" s="69"/>
      <c r="I367" s="69"/>
      <c r="J367" s="69"/>
      <c r="L367" s="69"/>
      <c r="M367" s="69"/>
      <c r="N367" s="69"/>
      <c r="O367" s="69"/>
      <c r="P367" s="69"/>
    </row>
    <row r="368" spans="2:16" hidden="1" outlineLevel="1" x14ac:dyDescent="0.25">
      <c r="C368" s="71" t="s">
        <v>323</v>
      </c>
      <c r="D368" s="6" t="s">
        <v>322</v>
      </c>
      <c r="E368" s="6" t="s">
        <v>56</v>
      </c>
      <c r="F368" s="67">
        <f t="shared" ref="F368:F394" si="45">+SUM(H368:P368)</f>
        <v>554.01113357142856</v>
      </c>
      <c r="H368" s="67">
        <f t="shared" ref="H368" si="46">IF(-H25&gt;G537,0,
IF((+H197+G368+IF(H25&lt;0,H25,0))&lt;0,0,(+H197+G368+IF(H25&lt;0,H25,0))))</f>
        <v>0</v>
      </c>
      <c r="I368" s="69">
        <f t="shared" ref="I368:L368" si="47">IF(-I25&gt;H537,0,
IF((+I197+H368+IF(I25&lt;0,I25,0))&lt;0,0,(+I197+H368+IF(I25&lt;0,I25,0))))</f>
        <v>0</v>
      </c>
      <c r="J368" s="69">
        <f t="shared" si="47"/>
        <v>8.0091285714285707</v>
      </c>
      <c r="K368" s="69">
        <f t="shared" si="47"/>
        <v>29.316252976190476</v>
      </c>
      <c r="L368" s="69">
        <f t="shared" si="47"/>
        <v>51.970060119047616</v>
      </c>
      <c r="M368" s="69">
        <f t="shared" ref="M368:N368" si="48">IF(-M25&gt;L537,0,
IF((+M197+L368+IF(M25&lt;0,M25,0))&lt;0,0,(+M197+L368+IF(M25&lt;0,M25,0))))</f>
        <v>75.183688690476188</v>
      </c>
      <c r="N368" s="69">
        <f t="shared" si="48"/>
        <v>102.30213869047618</v>
      </c>
      <c r="O368" s="69">
        <f t="shared" ref="O368:P368" si="49">IF(-O25&gt;N537,0,
IF((+O197+N368+IF(O25&lt;0,O25,0))&lt;0,0,(+O197+N368+IF(O25&lt;0,O25,0))))</f>
        <v>129.77094583333331</v>
      </c>
      <c r="P368" s="69">
        <f t="shared" si="49"/>
        <v>157.45891869047617</v>
      </c>
    </row>
    <row r="369" spans="3:16" hidden="1" outlineLevel="1" x14ac:dyDescent="0.25">
      <c r="C369" s="4" t="s">
        <v>326</v>
      </c>
      <c r="D369" s="6" t="s">
        <v>322</v>
      </c>
      <c r="E369" s="6" t="s">
        <v>56</v>
      </c>
      <c r="F369" s="67">
        <f t="shared" si="45"/>
        <v>2046.1793719483906</v>
      </c>
      <c r="H369" s="170">
        <f t="shared" ref="H369:L369" si="50">IF(-H26&gt;G538,0,
IF((+H198+G369+IF(H26&lt;0,H26,0))&lt;0,0,(+H198+G369+IF(H26&lt;0,H26,0))))</f>
        <v>44.580597517833461</v>
      </c>
      <c r="I369" s="170">
        <f t="shared" si="50"/>
        <v>171.62428881847251</v>
      </c>
      <c r="J369" s="170">
        <f t="shared" si="50"/>
        <v>318.89825111357754</v>
      </c>
      <c r="K369" s="170">
        <f t="shared" si="50"/>
        <v>417.13888024201589</v>
      </c>
      <c r="L369" s="170">
        <f t="shared" si="50"/>
        <v>561.21284224201588</v>
      </c>
      <c r="M369" s="170">
        <f>IF(-M26&gt;L538,0,
IF((+M198+L369+IF(M26&lt;0,M26,0))&lt;0,0,(+M198+L369+IF(M26&lt;0,M26,0))))</f>
        <v>532.72451201447507</v>
      </c>
      <c r="N369" s="170">
        <f t="shared" ref="N369:P369" si="51">IF(-N26&gt;M538,0,
IF((+N198+M369+IF(N26&lt;0,N26,0))&lt;0,0,(+N198+M369+IF(N26&lt;0,N26,0))))</f>
        <v>0</v>
      </c>
      <c r="O369" s="170">
        <f t="shared" si="51"/>
        <v>0</v>
      </c>
      <c r="P369" s="170">
        <f t="shared" si="51"/>
        <v>0</v>
      </c>
    </row>
    <row r="370" spans="3:16" hidden="1" outlineLevel="1" x14ac:dyDescent="0.25">
      <c r="C370" s="4" t="s">
        <v>327</v>
      </c>
      <c r="D370" s="6" t="s">
        <v>322</v>
      </c>
      <c r="E370" s="6" t="s">
        <v>56</v>
      </c>
      <c r="F370" s="67">
        <f t="shared" si="45"/>
        <v>3115.2599491729102</v>
      </c>
      <c r="H370" s="170">
        <f t="shared" ref="H370:P370" si="52">IF(-H27&gt;G539,0,
IF((+H199+G370+IF(H27&lt;0,H27,0))&lt;0,0,(+H199+G370+IF(H27&lt;0,H27,0))))</f>
        <v>16.670978533875573</v>
      </c>
      <c r="I370" s="170">
        <f t="shared" si="52"/>
        <v>117.7344796597587</v>
      </c>
      <c r="J370" s="170">
        <f t="shared" si="52"/>
        <v>218.7979816597587</v>
      </c>
      <c r="K370" s="170">
        <f t="shared" si="52"/>
        <v>319.86148365975873</v>
      </c>
      <c r="L370" s="170">
        <f t="shared" si="52"/>
        <v>420.92498565975876</v>
      </c>
      <c r="M370" s="170">
        <f t="shared" si="52"/>
        <v>505.31751000000003</v>
      </c>
      <c r="N370" s="170">
        <f t="shared" si="52"/>
        <v>505.31751000000003</v>
      </c>
      <c r="O370" s="170">
        <f t="shared" si="52"/>
        <v>505.31751000000003</v>
      </c>
      <c r="P370" s="170">
        <f t="shared" si="52"/>
        <v>505.31751000000003</v>
      </c>
    </row>
    <row r="371" spans="3:16" hidden="1" outlineLevel="1" x14ac:dyDescent="0.25">
      <c r="C371" s="4" t="s">
        <v>328</v>
      </c>
      <c r="D371" s="6" t="s">
        <v>322</v>
      </c>
      <c r="E371" s="6" t="s">
        <v>56</v>
      </c>
      <c r="F371" s="67">
        <f t="shared" si="45"/>
        <v>14.814686759216967</v>
      </c>
      <c r="H371" s="170">
        <f t="shared" ref="H371:P371" si="53">IF(-H28&gt;G540,0,
IF((+H200+G371+IF(H28&lt;0,H28,0))&lt;0,0,(+H200+G371+IF(H28&lt;0,H28,0))))</f>
        <v>0.22575702861031866</v>
      </c>
      <c r="I371" s="170">
        <f t="shared" si="53"/>
        <v>1.5943506998680124</v>
      </c>
      <c r="J371" s="170">
        <f t="shared" si="53"/>
        <v>2.962934343579545</v>
      </c>
      <c r="K371" s="170">
        <f t="shared" si="53"/>
        <v>4.3315263435795455</v>
      </c>
      <c r="L371" s="170">
        <f t="shared" si="53"/>
        <v>5.7001183435795451</v>
      </c>
      <c r="M371" s="170">
        <f t="shared" si="53"/>
        <v>0</v>
      </c>
      <c r="N371" s="170">
        <f t="shared" si="53"/>
        <v>0</v>
      </c>
      <c r="O371" s="170">
        <f t="shared" si="53"/>
        <v>0</v>
      </c>
      <c r="P371" s="170">
        <f t="shared" si="53"/>
        <v>0</v>
      </c>
    </row>
    <row r="372" spans="3:16" hidden="1" outlineLevel="1" x14ac:dyDescent="0.25">
      <c r="C372" s="4" t="s">
        <v>329</v>
      </c>
      <c r="D372" s="6" t="s">
        <v>322</v>
      </c>
      <c r="E372" s="6" t="s">
        <v>56</v>
      </c>
      <c r="F372" s="67">
        <f t="shared" si="45"/>
        <v>88.238842713955293</v>
      </c>
      <c r="H372" s="170">
        <f t="shared" ref="H372:P372" si="54">IF(-H29&gt;G541,0,
IF((+H201+G372+IF(H29&lt;0,H29,0))&lt;0,0,(+H201+G372+IF(H29&lt;0,H29,0))))</f>
        <v>0</v>
      </c>
      <c r="I372" s="170">
        <f t="shared" si="54"/>
        <v>0</v>
      </c>
      <c r="J372" s="170">
        <f t="shared" si="54"/>
        <v>3.5295529591364683</v>
      </c>
      <c r="K372" s="170">
        <f t="shared" si="54"/>
        <v>7.0591069591364679</v>
      </c>
      <c r="L372" s="170">
        <f t="shared" si="54"/>
        <v>10.588660959136469</v>
      </c>
      <c r="M372" s="170">
        <f t="shared" si="54"/>
        <v>14.11821495913647</v>
      </c>
      <c r="N372" s="170">
        <f t="shared" si="54"/>
        <v>17.647768959136471</v>
      </c>
      <c r="O372" s="170">
        <f t="shared" si="54"/>
        <v>17.647768959136471</v>
      </c>
      <c r="P372" s="170">
        <f t="shared" si="54"/>
        <v>17.647768959136471</v>
      </c>
    </row>
    <row r="373" spans="3:16" hidden="1" outlineLevel="1" x14ac:dyDescent="0.25">
      <c r="C373" s="4" t="s">
        <v>330</v>
      </c>
      <c r="D373" s="6" t="s">
        <v>322</v>
      </c>
      <c r="E373" s="6" t="s">
        <v>56</v>
      </c>
      <c r="F373" s="67">
        <f t="shared" si="45"/>
        <v>95.324900000000014</v>
      </c>
      <c r="H373" s="170">
        <f t="shared" ref="H373:P373" si="55">IF(-H30&gt;G542,0,
IF((+H202+G373+IF(H30&lt;0,H30,0))&lt;0,0,(+H202+G373+IF(H30&lt;0,H30,0))))</f>
        <v>0</v>
      </c>
      <c r="I373" s="170">
        <f t="shared" si="55"/>
        <v>0</v>
      </c>
      <c r="J373" s="170">
        <f t="shared" si="55"/>
        <v>0</v>
      </c>
      <c r="K373" s="170">
        <f t="shared" si="55"/>
        <v>0</v>
      </c>
      <c r="L373" s="170">
        <f t="shared" si="55"/>
        <v>0</v>
      </c>
      <c r="M373" s="170">
        <f t="shared" si="55"/>
        <v>6.6727430000000014</v>
      </c>
      <c r="N373" s="170">
        <f t="shared" si="55"/>
        <v>18.111731000000002</v>
      </c>
      <c r="O373" s="170">
        <f t="shared" si="55"/>
        <v>29.550719000000004</v>
      </c>
      <c r="P373" s="170">
        <f t="shared" si="55"/>
        <v>40.98970700000001</v>
      </c>
    </row>
    <row r="374" spans="3:16" hidden="1" outlineLevel="1" x14ac:dyDescent="0.25">
      <c r="C374" s="71" t="s">
        <v>63</v>
      </c>
      <c r="D374" s="6" t="s">
        <v>322</v>
      </c>
      <c r="E374" s="6" t="s">
        <v>56</v>
      </c>
      <c r="F374" s="67">
        <f t="shared" si="45"/>
        <v>5858.8208946488312</v>
      </c>
      <c r="H374" s="69">
        <f t="shared" ref="H374:P374" si="56">IF(-H31&gt;G543,0,
IF((+H203+G374+IF(H31&lt;0,H31,0))&lt;0,0,(+H203+G374+IF(H31&lt;0,H31,0))))</f>
        <v>22.141019699037525</v>
      </c>
      <c r="I374" s="69">
        <f t="shared" si="56"/>
        <v>126.40387903506442</v>
      </c>
      <c r="J374" s="69">
        <f t="shared" si="56"/>
        <v>255.21972840212257</v>
      </c>
      <c r="K374" s="69">
        <f t="shared" si="56"/>
        <v>373.72262045243087</v>
      </c>
      <c r="L374" s="69">
        <f t="shared" si="56"/>
        <v>441.16759353901767</v>
      </c>
      <c r="M374" s="69">
        <f t="shared" si="56"/>
        <v>568.12381326123989</v>
      </c>
      <c r="N374" s="69">
        <f t="shared" si="56"/>
        <v>870.26239492790808</v>
      </c>
      <c r="O374" s="69">
        <f t="shared" si="56"/>
        <v>1329.8992740945764</v>
      </c>
      <c r="P374" s="69">
        <f t="shared" si="56"/>
        <v>1871.8805712374337</v>
      </c>
    </row>
    <row r="375" spans="3:16" hidden="1" outlineLevel="1" x14ac:dyDescent="0.25">
      <c r="C375" s="4" t="s">
        <v>331</v>
      </c>
      <c r="D375" s="6" t="s">
        <v>322</v>
      </c>
      <c r="E375" s="6" t="s">
        <v>56</v>
      </c>
      <c r="F375" s="67">
        <f t="shared" si="45"/>
        <v>930.4171941666666</v>
      </c>
      <c r="H375" s="170">
        <f t="shared" ref="H375:P375" si="57">IF(-H32&gt;G544,0,
IF((+H204+G375+IF(H32&lt;0,H32,0))&lt;0,0,(+H204+G375+IF(H32&lt;0,H32,0))))</f>
        <v>0</v>
      </c>
      <c r="I375" s="170">
        <f t="shared" si="57"/>
        <v>0</v>
      </c>
      <c r="J375" s="170">
        <f t="shared" si="57"/>
        <v>21.637609166666664</v>
      </c>
      <c r="K375" s="170">
        <f t="shared" si="57"/>
        <v>58.730653452380949</v>
      </c>
      <c r="L375" s="170">
        <f t="shared" si="57"/>
        <v>95.823697738095234</v>
      </c>
      <c r="M375" s="170">
        <f t="shared" si="57"/>
        <v>132.91674202380952</v>
      </c>
      <c r="N375" s="170">
        <f t="shared" si="57"/>
        <v>170.0097863095238</v>
      </c>
      <c r="O375" s="170">
        <f t="shared" si="57"/>
        <v>207.10283059523809</v>
      </c>
      <c r="P375" s="170">
        <f t="shared" si="57"/>
        <v>244.19587488095237</v>
      </c>
    </row>
    <row r="376" spans="3:16" hidden="1" outlineLevel="1" x14ac:dyDescent="0.25">
      <c r="C376" s="4" t="s">
        <v>332</v>
      </c>
      <c r="D376" s="6" t="s">
        <v>322</v>
      </c>
      <c r="E376" s="6" t="s">
        <v>56</v>
      </c>
      <c r="F376" s="67">
        <f t="shared" si="45"/>
        <v>6.6486933333333358</v>
      </c>
      <c r="H376" s="170">
        <f t="shared" ref="H376:P376" si="58">IF(-H33&gt;G545,0,
IF((+H205+G376+IF(H33&lt;0,H33,0))&lt;0,0,(+H205+G376+IF(H33&lt;0,H33,0))))</f>
        <v>0</v>
      </c>
      <c r="I376" s="170">
        <f t="shared" si="58"/>
        <v>0.14391111111111113</v>
      </c>
      <c r="J376" s="170">
        <f t="shared" si="58"/>
        <v>0.48929777777777783</v>
      </c>
      <c r="K376" s="170">
        <f t="shared" si="58"/>
        <v>0.83468444444444456</v>
      </c>
      <c r="L376" s="170">
        <f t="shared" si="58"/>
        <v>1.0361600000000002</v>
      </c>
      <c r="M376" s="170">
        <f t="shared" si="58"/>
        <v>1.0361600000000002</v>
      </c>
      <c r="N376" s="170">
        <f t="shared" si="58"/>
        <v>1.0361600000000002</v>
      </c>
      <c r="O376" s="170">
        <f t="shared" si="58"/>
        <v>1.0361600000000002</v>
      </c>
      <c r="P376" s="170">
        <f t="shared" si="58"/>
        <v>1.0361600000000002</v>
      </c>
    </row>
    <row r="377" spans="3:16" hidden="1" outlineLevel="1" x14ac:dyDescent="0.25">
      <c r="C377" s="4" t="s">
        <v>333</v>
      </c>
      <c r="D377" s="6" t="s">
        <v>322</v>
      </c>
      <c r="E377" s="6" t="s">
        <v>56</v>
      </c>
      <c r="F377" s="67">
        <f t="shared" si="45"/>
        <v>50.307552777777765</v>
      </c>
      <c r="H377" s="170">
        <f t="shared" ref="H377:P377" si="59">IF(-H34&gt;G546,0,
IF((+H206+G377+IF(H34&lt;0,H34,0))&lt;0,0,(+H206+G377+IF(H34&lt;0,H34,0))))</f>
        <v>0</v>
      </c>
      <c r="I377" s="170">
        <f t="shared" si="59"/>
        <v>11.433534722222221</v>
      </c>
      <c r="J377" s="170">
        <f t="shared" si="59"/>
        <v>38.874018055555545</v>
      </c>
      <c r="K377" s="170">
        <f t="shared" si="59"/>
        <v>0</v>
      </c>
      <c r="L377" s="170">
        <f t="shared" si="59"/>
        <v>0</v>
      </c>
      <c r="M377" s="170">
        <f t="shared" si="59"/>
        <v>0</v>
      </c>
      <c r="N377" s="170">
        <f t="shared" si="59"/>
        <v>0</v>
      </c>
      <c r="O377" s="170">
        <f t="shared" si="59"/>
        <v>0</v>
      </c>
      <c r="P377" s="170">
        <f t="shared" si="59"/>
        <v>0</v>
      </c>
    </row>
    <row r="378" spans="3:16" hidden="1" outlineLevel="1" x14ac:dyDescent="0.25">
      <c r="C378" s="4" t="s">
        <v>334</v>
      </c>
      <c r="D378" s="6" t="s">
        <v>322</v>
      </c>
      <c r="E378" s="6" t="s">
        <v>56</v>
      </c>
      <c r="F378" s="67">
        <f t="shared" si="45"/>
        <v>13.004166666666666</v>
      </c>
      <c r="H378" s="170">
        <f t="shared" ref="H378:P378" si="60">IF(-H35&gt;G547,0,
IF((+H207+G378+IF(H35&lt;0,H35,0))&lt;0,0,(+H207+G378+IF(H35&lt;0,H35,0))))</f>
        <v>0</v>
      </c>
      <c r="I378" s="170">
        <f t="shared" si="60"/>
        <v>7.4309523809523798E-2</v>
      </c>
      <c r="J378" s="170">
        <f t="shared" si="60"/>
        <v>0.52016666666666667</v>
      </c>
      <c r="K378" s="170">
        <f t="shared" si="60"/>
        <v>0.96602380952380951</v>
      </c>
      <c r="L378" s="170">
        <f t="shared" si="60"/>
        <v>1.4118809523809523</v>
      </c>
      <c r="M378" s="170">
        <f t="shared" si="60"/>
        <v>1.8577380952380951</v>
      </c>
      <c r="N378" s="170">
        <f t="shared" si="60"/>
        <v>2.3035952380952378</v>
      </c>
      <c r="O378" s="170">
        <f t="shared" si="60"/>
        <v>2.7494523809523805</v>
      </c>
      <c r="P378" s="170">
        <f t="shared" si="60"/>
        <v>3.121</v>
      </c>
    </row>
    <row r="379" spans="3:16" hidden="1" outlineLevel="1" x14ac:dyDescent="0.25">
      <c r="C379" s="4" t="s">
        <v>335</v>
      </c>
      <c r="D379" s="6" t="s">
        <v>322</v>
      </c>
      <c r="E379" s="6" t="s">
        <v>56</v>
      </c>
      <c r="F379" s="67">
        <f t="shared" si="45"/>
        <v>2017.4001833333332</v>
      </c>
      <c r="H379" s="170">
        <f t="shared" ref="H379:P379" si="61">IF(-H36&gt;G548,0,
IF((+H208+G379+IF(H36&lt;0,H36,0))&lt;0,0,(+H208+G379+IF(H36&lt;0,H36,0))))</f>
        <v>0</v>
      </c>
      <c r="I379" s="170">
        <f t="shared" si="61"/>
        <v>0</v>
      </c>
      <c r="J379" s="170">
        <f t="shared" si="61"/>
        <v>52.400004761904754</v>
      </c>
      <c r="K379" s="170">
        <f t="shared" si="61"/>
        <v>131.00001190476189</v>
      </c>
      <c r="L379" s="170">
        <f t="shared" si="61"/>
        <v>209.60001904761901</v>
      </c>
      <c r="M379" s="170">
        <f t="shared" si="61"/>
        <v>288.20002619047614</v>
      </c>
      <c r="N379" s="170">
        <f t="shared" si="61"/>
        <v>366.80003333333326</v>
      </c>
      <c r="O379" s="170">
        <f t="shared" si="61"/>
        <v>445.40004047619038</v>
      </c>
      <c r="P379" s="170">
        <f t="shared" si="61"/>
        <v>524.00004761904756</v>
      </c>
    </row>
    <row r="380" spans="3:16" hidden="1" outlineLevel="1" x14ac:dyDescent="0.25">
      <c r="C380" s="4" t="s">
        <v>336</v>
      </c>
      <c r="D380" s="6" t="s">
        <v>322</v>
      </c>
      <c r="E380" s="6" t="s">
        <v>56</v>
      </c>
      <c r="F380" s="67">
        <f t="shared" si="45"/>
        <v>583.07610428571434</v>
      </c>
      <c r="H380" s="170">
        <f t="shared" ref="H380:P380" si="62">IF(-H37&gt;G549,0,
IF((+H209+G380+IF(H37&lt;0,H37,0))&lt;0,0,(+H209+G380+IF(H37&lt;0,H37,0))))</f>
        <v>0</v>
      </c>
      <c r="I380" s="170">
        <f t="shared" si="62"/>
        <v>0</v>
      </c>
      <c r="J380" s="170">
        <f t="shared" si="62"/>
        <v>0</v>
      </c>
      <c r="K380" s="170">
        <f t="shared" si="62"/>
        <v>21.422157857142857</v>
      </c>
      <c r="L380" s="170">
        <f t="shared" si="62"/>
        <v>49.985034999999996</v>
      </c>
      <c r="M380" s="170">
        <f t="shared" si="62"/>
        <v>81.022912142857137</v>
      </c>
      <c r="N380" s="170">
        <f t="shared" si="62"/>
        <v>112.28578928571429</v>
      </c>
      <c r="O380" s="170">
        <f t="shared" si="62"/>
        <v>143.54866642857144</v>
      </c>
      <c r="P380" s="170">
        <f t="shared" si="62"/>
        <v>174.81154357142859</v>
      </c>
    </row>
    <row r="381" spans="3:16" hidden="1" outlineLevel="1" x14ac:dyDescent="0.25">
      <c r="C381" s="4" t="s">
        <v>337</v>
      </c>
      <c r="D381" s="6" t="s">
        <v>322</v>
      </c>
      <c r="E381" s="6" t="s">
        <v>56</v>
      </c>
      <c r="F381" s="67">
        <f t="shared" si="45"/>
        <v>503.03007000000002</v>
      </c>
      <c r="H381" s="170">
        <f t="shared" ref="H381:P381" si="63">IF(-H38&gt;G550,0,
IF((+H210+G381+IF(H38&lt;0,H38,0))&lt;0,0,(+H210+G381+IF(H38&lt;0,H38,0))))</f>
        <v>0</v>
      </c>
      <c r="I381" s="170">
        <f t="shared" si="63"/>
        <v>0</v>
      </c>
      <c r="J381" s="170">
        <f t="shared" si="63"/>
        <v>0</v>
      </c>
      <c r="K381" s="170">
        <f t="shared" si="63"/>
        <v>23.953812857142857</v>
      </c>
      <c r="L381" s="170">
        <f t="shared" si="63"/>
        <v>47.907625714285714</v>
      </c>
      <c r="M381" s="170">
        <f t="shared" si="63"/>
        <v>71.861438571428579</v>
      </c>
      <c r="N381" s="170">
        <f t="shared" si="63"/>
        <v>95.815251428571429</v>
      </c>
      <c r="O381" s="170">
        <f t="shared" si="63"/>
        <v>119.76906428571428</v>
      </c>
      <c r="P381" s="170">
        <f t="shared" si="63"/>
        <v>143.72287714285713</v>
      </c>
    </row>
    <row r="382" spans="3:16" hidden="1" outlineLevel="1" x14ac:dyDescent="0.25">
      <c r="C382" s="4" t="s">
        <v>338</v>
      </c>
      <c r="D382" s="6" t="s">
        <v>322</v>
      </c>
      <c r="E382" s="6" t="s">
        <v>56</v>
      </c>
      <c r="F382" s="67">
        <f t="shared" si="45"/>
        <v>19.990609523809521</v>
      </c>
      <c r="H382" s="170">
        <f t="shared" ref="H382:P382" si="64">IF(-H39&gt;G551,0,
IF((+H211+G382+IF(H39&lt;0,H39,0))&lt;0,0,(+H211+G382+IF(H39&lt;0,H39,0))))</f>
        <v>0</v>
      </c>
      <c r="I382" s="170">
        <f t="shared" si="64"/>
        <v>0</v>
      </c>
      <c r="J382" s="170">
        <f t="shared" si="64"/>
        <v>0</v>
      </c>
      <c r="K382" s="170">
        <f t="shared" si="64"/>
        <v>0</v>
      </c>
      <c r="L382" s="170">
        <f t="shared" si="64"/>
        <v>0</v>
      </c>
      <c r="M382" s="170">
        <f t="shared" si="64"/>
        <v>0.49976523809523804</v>
      </c>
      <c r="N382" s="170">
        <f t="shared" si="64"/>
        <v>3.4983566666666666</v>
      </c>
      <c r="O382" s="170">
        <f t="shared" si="64"/>
        <v>6.4969480952380945</v>
      </c>
      <c r="P382" s="170">
        <f t="shared" si="64"/>
        <v>9.4955395238095228</v>
      </c>
    </row>
    <row r="383" spans="3:16" hidden="1" outlineLevel="1" x14ac:dyDescent="0.25">
      <c r="C383" s="4" t="s">
        <v>339</v>
      </c>
      <c r="D383" s="6" t="s">
        <v>322</v>
      </c>
      <c r="E383" s="6" t="s">
        <v>56</v>
      </c>
      <c r="F383" s="67">
        <f t="shared" si="45"/>
        <v>50.097839999999998</v>
      </c>
      <c r="H383" s="170">
        <f t="shared" ref="H383:P383" si="65">IF(-H40&gt;G552,0,
IF((+H212+G383+IF(H40&lt;0,H40,0))&lt;0,0,(+H212+G383+IF(H40&lt;0,H40,0))))</f>
        <v>0</v>
      </c>
      <c r="I383" s="170">
        <f t="shared" si="65"/>
        <v>0</v>
      </c>
      <c r="J383" s="170">
        <f t="shared" si="65"/>
        <v>0</v>
      </c>
      <c r="K383" s="170">
        <f t="shared" si="65"/>
        <v>0</v>
      </c>
      <c r="L383" s="170">
        <f t="shared" si="65"/>
        <v>0</v>
      </c>
      <c r="M383" s="170">
        <f t="shared" si="65"/>
        <v>3.8536800000000002</v>
      </c>
      <c r="N383" s="170">
        <f t="shared" si="65"/>
        <v>9.6341999999999999</v>
      </c>
      <c r="O383" s="170">
        <f t="shared" si="65"/>
        <v>15.414719999999999</v>
      </c>
      <c r="P383" s="170">
        <f t="shared" si="65"/>
        <v>21.195239999999998</v>
      </c>
    </row>
    <row r="384" spans="3:16" hidden="1" outlineLevel="1" x14ac:dyDescent="0.25">
      <c r="C384" s="4" t="s">
        <v>340</v>
      </c>
      <c r="D384" s="6" t="s">
        <v>322</v>
      </c>
      <c r="E384" s="6" t="s">
        <v>56</v>
      </c>
      <c r="F384" s="67">
        <f t="shared" si="45"/>
        <v>194.17001250000001</v>
      </c>
      <c r="H384" s="170">
        <f t="shared" ref="H384:P384" si="66">IF(-H41&gt;G553,0,
IF((+H213+G384+IF(H41&lt;0,H41,0))&lt;0,0,(+H213+G384+IF(H41&lt;0,H41,0))))</f>
        <v>0</v>
      </c>
      <c r="I384" s="170">
        <f t="shared" si="66"/>
        <v>0</v>
      </c>
      <c r="J384" s="170">
        <f t="shared" si="66"/>
        <v>0</v>
      </c>
      <c r="K384" s="170">
        <f t="shared" si="66"/>
        <v>0</v>
      </c>
      <c r="L384" s="170">
        <f t="shared" si="66"/>
        <v>0</v>
      </c>
      <c r="M384" s="170">
        <f t="shared" si="66"/>
        <v>10.782740624999999</v>
      </c>
      <c r="N384" s="170">
        <f t="shared" si="66"/>
        <v>35.955915625000003</v>
      </c>
      <c r="O384" s="170">
        <f t="shared" si="66"/>
        <v>61.129090625000003</v>
      </c>
      <c r="P384" s="170">
        <f t="shared" si="66"/>
        <v>86.302265625000004</v>
      </c>
    </row>
    <row r="385" spans="2:16" hidden="1" outlineLevel="1" x14ac:dyDescent="0.25">
      <c r="C385" s="4" t="s">
        <v>341</v>
      </c>
      <c r="D385" s="6" t="s">
        <v>322</v>
      </c>
      <c r="E385" s="6" t="s">
        <v>56</v>
      </c>
      <c r="F385" s="67">
        <f t="shared" si="45"/>
        <v>34.615836190476188</v>
      </c>
      <c r="H385" s="170">
        <f t="shared" ref="H385:P385" si="67">IF(-H42&gt;G554,0,
IF((+H214+G385+IF(H42&lt;0,H42,0))&lt;0,0,(+H214+G385+IF(H42&lt;0,H42,0))))</f>
        <v>0</v>
      </c>
      <c r="I385" s="170">
        <f t="shared" si="67"/>
        <v>0</v>
      </c>
      <c r="J385" s="170">
        <f t="shared" si="67"/>
        <v>0</v>
      </c>
      <c r="K385" s="170">
        <f t="shared" si="67"/>
        <v>0</v>
      </c>
      <c r="L385" s="170">
        <f t="shared" si="67"/>
        <v>0</v>
      </c>
      <c r="M385" s="170">
        <f t="shared" si="67"/>
        <v>3.2825361904761898</v>
      </c>
      <c r="N385" s="170">
        <f t="shared" si="67"/>
        <v>6.8634847619047612</v>
      </c>
      <c r="O385" s="170">
        <f t="shared" si="67"/>
        <v>10.444433333333333</v>
      </c>
      <c r="P385" s="170">
        <f t="shared" si="67"/>
        <v>14.025381904761904</v>
      </c>
    </row>
    <row r="386" spans="2:16" hidden="1" outlineLevel="1" x14ac:dyDescent="0.25">
      <c r="C386" s="4" t="s">
        <v>342</v>
      </c>
      <c r="D386" s="6" t="s">
        <v>322</v>
      </c>
      <c r="E386" s="6" t="s">
        <v>56</v>
      </c>
      <c r="F386" s="67">
        <f t="shared" si="45"/>
        <v>35.037010714285714</v>
      </c>
      <c r="H386" s="170">
        <f t="shared" ref="H386:P386" si="68">IF(-H43&gt;G555,0,
IF((+H215+G386+IF(H43&lt;0,H43,0))&lt;0,0,(+H215+G386+IF(H43&lt;0,H43,0))))</f>
        <v>0</v>
      </c>
      <c r="I386" s="170">
        <f t="shared" si="68"/>
        <v>0</v>
      </c>
      <c r="J386" s="170">
        <f t="shared" si="68"/>
        <v>0</v>
      </c>
      <c r="K386" s="170">
        <f t="shared" si="68"/>
        <v>0</v>
      </c>
      <c r="L386" s="170">
        <f t="shared" si="68"/>
        <v>0</v>
      </c>
      <c r="M386" s="170">
        <f t="shared" si="68"/>
        <v>0</v>
      </c>
      <c r="N386" s="170">
        <f t="shared" si="68"/>
        <v>4.5353821428571424</v>
      </c>
      <c r="O386" s="170">
        <f t="shared" si="68"/>
        <v>11.67900357142857</v>
      </c>
      <c r="P386" s="170">
        <f t="shared" si="68"/>
        <v>18.822624999999999</v>
      </c>
    </row>
    <row r="387" spans="2:16" hidden="1" outlineLevel="1" x14ac:dyDescent="0.25">
      <c r="C387" s="4" t="s">
        <v>343</v>
      </c>
      <c r="D387" s="6" t="s">
        <v>322</v>
      </c>
      <c r="E387" s="6" t="s">
        <v>56</v>
      </c>
      <c r="F387" s="67">
        <f t="shared" si="45"/>
        <v>5.1224766666666666</v>
      </c>
      <c r="H387" s="170">
        <f t="shared" ref="H387:P387" si="69">IF(-H44&gt;G556,0,
IF((+H216+G387+IF(H44&lt;0,H44,0))&lt;0,0,(+H216+G387+IF(H44&lt;0,H44,0))))</f>
        <v>0</v>
      </c>
      <c r="I387" s="170">
        <f t="shared" si="69"/>
        <v>0</v>
      </c>
      <c r="J387" s="170">
        <f t="shared" si="69"/>
        <v>0</v>
      </c>
      <c r="K387" s="170">
        <f t="shared" si="69"/>
        <v>0</v>
      </c>
      <c r="L387" s="170">
        <f t="shared" si="69"/>
        <v>0</v>
      </c>
      <c r="M387" s="170">
        <f t="shared" si="69"/>
        <v>0</v>
      </c>
      <c r="N387" s="170">
        <f t="shared" si="69"/>
        <v>0</v>
      </c>
      <c r="O387" s="170">
        <f t="shared" si="69"/>
        <v>0</v>
      </c>
      <c r="P387" s="170">
        <f t="shared" si="69"/>
        <v>5.1224766666666666</v>
      </c>
    </row>
    <row r="388" spans="2:16" hidden="1" outlineLevel="1" x14ac:dyDescent="0.25">
      <c r="C388" s="223" t="s">
        <v>61</v>
      </c>
      <c r="D388" s="254" t="s">
        <v>322</v>
      </c>
      <c r="E388" s="254" t="s">
        <v>56</v>
      </c>
      <c r="F388" s="255">
        <f t="shared" si="45"/>
        <v>1330.4317819245236</v>
      </c>
      <c r="G388" s="223"/>
      <c r="H388" s="268">
        <f t="shared" ref="H388:P388" si="70">IF(-H45&gt;G557,0,
IF((+H217+G388+IF(H45&lt;0,H45,0))&lt;0,0,(+H217+G388+IF(H45&lt;0,H45,0))))</f>
        <v>8.1567333572723424</v>
      </c>
      <c r="I388" s="268">
        <f t="shared" si="70"/>
        <v>85.429562449151391</v>
      </c>
      <c r="J388" s="268">
        <f t="shared" si="70"/>
        <v>175.63711788204449</v>
      </c>
      <c r="K388" s="268">
        <f t="shared" si="70"/>
        <v>268.57433537401772</v>
      </c>
      <c r="L388" s="268">
        <f t="shared" si="70"/>
        <v>352.17252305487591</v>
      </c>
      <c r="M388" s="268">
        <f t="shared" si="70"/>
        <v>440.46150980716175</v>
      </c>
      <c r="N388" s="268">
        <f t="shared" si="70"/>
        <v>0</v>
      </c>
      <c r="O388" s="268">
        <f t="shared" si="70"/>
        <v>0</v>
      </c>
      <c r="P388" s="268">
        <f t="shared" si="70"/>
        <v>0</v>
      </c>
    </row>
    <row r="389" spans="2:16" ht="13" hidden="1" outlineLevel="1" x14ac:dyDescent="0.3">
      <c r="B389" s="7"/>
      <c r="C389" s="223" t="s">
        <v>62</v>
      </c>
      <c r="D389" s="254" t="s">
        <v>322</v>
      </c>
      <c r="E389" s="254" t="s">
        <v>56</v>
      </c>
      <c r="F389" s="255">
        <f t="shared" si="45"/>
        <v>10093.592682103745</v>
      </c>
      <c r="G389" s="223"/>
      <c r="H389" s="268">
        <f t="shared" ref="H389:P389" si="71">IF(-H46&gt;G558,0,
IF((+H218+G389+IF(H46&lt;0,H46,0))&lt;0,0,(+H218+G389+IF(H46&lt;0,H46,0))))</f>
        <v>17.062549563438957</v>
      </c>
      <c r="I389" s="268">
        <f t="shared" si="71"/>
        <v>322.900199118827</v>
      </c>
      <c r="J389" s="268">
        <f t="shared" si="71"/>
        <v>749.95251717442261</v>
      </c>
      <c r="K389" s="268">
        <f t="shared" si="71"/>
        <v>1379.3045620254777</v>
      </c>
      <c r="L389" s="268">
        <f t="shared" si="71"/>
        <v>1588.8029329694277</v>
      </c>
      <c r="M389" s="268">
        <f t="shared" si="71"/>
        <v>1852.3110962118756</v>
      </c>
      <c r="N389" s="268">
        <f t="shared" si="71"/>
        <v>2031.6169332876564</v>
      </c>
      <c r="O389" s="268">
        <f t="shared" si="71"/>
        <v>2151.6418917526194</v>
      </c>
      <c r="P389" s="268">
        <f t="shared" si="71"/>
        <v>0</v>
      </c>
    </row>
    <row r="390" spans="2:16" hidden="1" outlineLevel="1" x14ac:dyDescent="0.25">
      <c r="C390" s="223" t="s">
        <v>348</v>
      </c>
      <c r="D390" s="254" t="s">
        <v>322</v>
      </c>
      <c r="E390" s="254" t="s">
        <v>56</v>
      </c>
      <c r="F390" s="255">
        <f t="shared" si="45"/>
        <v>203.36956037790199</v>
      </c>
      <c r="G390" s="223"/>
      <c r="H390" s="268">
        <f t="shared" ref="H390:P390" si="72">IF(-H47&gt;G559,0,
IF((+H219+G390+IF(H47&lt;0,H47,0))&lt;0,0,(+H219+G390+IF(H47&lt;0,H47,0))))</f>
        <v>0.91170323336581127</v>
      </c>
      <c r="I390" s="268">
        <f t="shared" si="72"/>
        <v>6.5018700033981922</v>
      </c>
      <c r="J390" s="268">
        <f t="shared" si="72"/>
        <v>12.258188352506711</v>
      </c>
      <c r="K390" s="268">
        <f t="shared" si="72"/>
        <v>18.014506701615229</v>
      </c>
      <c r="L390" s="268">
        <f t="shared" si="72"/>
        <v>23.65223338405708</v>
      </c>
      <c r="M390" s="268">
        <f t="shared" si="72"/>
        <v>29.123931733165598</v>
      </c>
      <c r="N390" s="268">
        <f t="shared" si="72"/>
        <v>34.595630082274113</v>
      </c>
      <c r="O390" s="268">
        <f t="shared" si="72"/>
        <v>39.155748443759627</v>
      </c>
      <c r="P390" s="268">
        <f t="shared" si="72"/>
        <v>39.155748443759627</v>
      </c>
    </row>
    <row r="391" spans="2:16" hidden="1" outlineLevel="1" x14ac:dyDescent="0.25">
      <c r="C391" s="223" t="s">
        <v>349</v>
      </c>
      <c r="D391" s="254" t="s">
        <v>322</v>
      </c>
      <c r="E391" s="254" t="s">
        <v>56</v>
      </c>
      <c r="F391" s="255">
        <f t="shared" si="45"/>
        <v>2189.9986806787206</v>
      </c>
      <c r="G391" s="223"/>
      <c r="H391" s="268">
        <f t="shared" ref="H391:P391" si="73">IF(-H48&gt;G560,0,
IF((+H220+G391+IF(H48&lt;0,H48,0))&lt;0,0,(+H220+G391+IF(H48&lt;0,H48,0))))</f>
        <v>0.64182723108983697</v>
      </c>
      <c r="I391" s="268">
        <f t="shared" si="73"/>
        <v>4.5294099964624861</v>
      </c>
      <c r="J391" s="268">
        <f t="shared" si="73"/>
        <v>19.017345605798361</v>
      </c>
      <c r="K391" s="268">
        <f t="shared" si="73"/>
        <v>117.95094026275328</v>
      </c>
      <c r="L391" s="268">
        <f t="shared" si="73"/>
        <v>216.88453491970819</v>
      </c>
      <c r="M391" s="268">
        <f t="shared" si="73"/>
        <v>315.17963138001278</v>
      </c>
      <c r="N391" s="268">
        <f t="shared" si="73"/>
        <v>410.22231423715567</v>
      </c>
      <c r="O391" s="268">
        <f t="shared" si="73"/>
        <v>505.26499709429856</v>
      </c>
      <c r="P391" s="268">
        <f t="shared" si="73"/>
        <v>600.3076799514414</v>
      </c>
    </row>
    <row r="392" spans="2:16" hidden="1" outlineLevel="1" x14ac:dyDescent="0.25">
      <c r="C392" s="223" t="s">
        <v>350</v>
      </c>
      <c r="D392" s="254" t="s">
        <v>322</v>
      </c>
      <c r="E392" s="254" t="s">
        <v>56</v>
      </c>
      <c r="F392" s="255">
        <f t="shared" si="45"/>
        <v>1353.5119322554638</v>
      </c>
      <c r="G392" s="223"/>
      <c r="H392" s="268">
        <f t="shared" ref="H392:P392" si="74">IF(-H49&gt;G561,0,
IF((+H221+G392+IF(H49&lt;0,H49,0))&lt;0,0,(+H221+G392+IF(H49&lt;0,H49,0))))</f>
        <v>0</v>
      </c>
      <c r="I392" s="268">
        <f t="shared" si="74"/>
        <v>16.215400764386015</v>
      </c>
      <c r="J392" s="268">
        <f t="shared" si="74"/>
        <v>41.894316002481212</v>
      </c>
      <c r="K392" s="268">
        <f t="shared" si="74"/>
        <v>92.228915804068521</v>
      </c>
      <c r="L392" s="268">
        <f t="shared" si="74"/>
        <v>140.89821834375107</v>
      </c>
      <c r="M392" s="268">
        <f t="shared" si="74"/>
        <v>192.9409097723225</v>
      </c>
      <c r="N392" s="268">
        <f t="shared" si="74"/>
        <v>244.98360120089393</v>
      </c>
      <c r="O392" s="268">
        <f t="shared" si="74"/>
        <v>293.75129262946535</v>
      </c>
      <c r="P392" s="268">
        <f t="shared" si="74"/>
        <v>330.59927773809522</v>
      </c>
    </row>
    <row r="393" spans="2:16" hidden="1" outlineLevel="1" x14ac:dyDescent="0.25">
      <c r="C393" s="223" t="s">
        <v>351</v>
      </c>
      <c r="D393" s="254" t="s">
        <v>322</v>
      </c>
      <c r="E393" s="254" t="s">
        <v>56</v>
      </c>
      <c r="F393" s="255">
        <f t="shared" si="45"/>
        <v>888.06230521433781</v>
      </c>
      <c r="G393" s="223"/>
      <c r="H393" s="268">
        <f t="shared" ref="H393:P393" si="75">IF(-H50&gt;G562,0,
IF((+H222+G393+IF(H50&lt;0,H50,0))&lt;0,0,(+H222+G393+IF(H50&lt;0,H50,0))))</f>
        <v>0.42141380193218148</v>
      </c>
      <c r="I393" s="268">
        <f t="shared" si="75"/>
        <v>5.759008418919187</v>
      </c>
      <c r="J393" s="268">
        <f t="shared" si="75"/>
        <v>27.673320293565538</v>
      </c>
      <c r="K393" s="268">
        <f t="shared" si="75"/>
        <v>60.39984520789443</v>
      </c>
      <c r="L393" s="268">
        <f t="shared" si="75"/>
        <v>97.685272265080442</v>
      </c>
      <c r="M393" s="268">
        <f t="shared" si="75"/>
        <v>136.89843970321886</v>
      </c>
      <c r="N393" s="268">
        <f t="shared" si="75"/>
        <v>177.0093034746906</v>
      </c>
      <c r="O393" s="268">
        <f t="shared" si="75"/>
        <v>173.91844141282903</v>
      </c>
      <c r="P393" s="268">
        <f t="shared" si="75"/>
        <v>208.29726063620765</v>
      </c>
    </row>
    <row r="394" spans="2:16" hidden="1" outlineLevel="1" x14ac:dyDescent="0.25">
      <c r="C394" s="223" t="s">
        <v>352</v>
      </c>
      <c r="D394" s="254" t="s">
        <v>322</v>
      </c>
      <c r="E394" s="254" t="s">
        <v>56</v>
      </c>
      <c r="F394" s="255">
        <f t="shared" si="45"/>
        <v>446.06960186904763</v>
      </c>
      <c r="G394" s="223"/>
      <c r="H394" s="268">
        <f t="shared" ref="H394:P394" si="76">IF(-H51&gt;G563,0,
IF((+H223+G394+IF(H51&lt;0,H51,0))&lt;0,0,(+H223+G394+IF(H51&lt;0,H51,0))))</f>
        <v>0</v>
      </c>
      <c r="I394" s="268">
        <f t="shared" si="76"/>
        <v>0</v>
      </c>
      <c r="J394" s="268">
        <f t="shared" si="76"/>
        <v>17.590806666666666</v>
      </c>
      <c r="K394" s="268">
        <f t="shared" si="76"/>
        <v>75.553728750000005</v>
      </c>
      <c r="L394" s="268">
        <f t="shared" si="76"/>
        <v>134.02486475000001</v>
      </c>
      <c r="M394" s="268">
        <f t="shared" si="76"/>
        <v>218.90020170238097</v>
      </c>
      <c r="N394" s="268">
        <f t="shared" si="76"/>
        <v>0</v>
      </c>
      <c r="O394" s="268">
        <f t="shared" si="76"/>
        <v>0</v>
      </c>
      <c r="P394" s="268">
        <f t="shared" si="76"/>
        <v>0</v>
      </c>
    </row>
    <row r="395" spans="2:16" collapsed="1" x14ac:dyDescent="0.25">
      <c r="H395" s="260"/>
      <c r="I395" s="260"/>
      <c r="J395" s="261"/>
      <c r="K395" s="261"/>
      <c r="L395" s="261"/>
      <c r="M395" s="261"/>
      <c r="N395" s="261"/>
      <c r="O395" s="261"/>
      <c r="P395" s="260"/>
    </row>
    <row r="396" spans="2:16" ht="13" x14ac:dyDescent="0.3">
      <c r="B396" s="7" t="s">
        <v>353</v>
      </c>
      <c r="C396" s="7"/>
      <c r="D396" s="243"/>
      <c r="E396" s="243"/>
      <c r="F396" s="66"/>
      <c r="H396" s="8"/>
      <c r="I396" s="70"/>
      <c r="J396" s="70"/>
      <c r="K396" s="70"/>
      <c r="L396" s="262"/>
      <c r="M396" s="70"/>
      <c r="N396" s="70"/>
      <c r="O396" s="70"/>
      <c r="P396" s="70"/>
    </row>
    <row r="397" spans="2:16" ht="13" hidden="1" outlineLevel="1" x14ac:dyDescent="0.3">
      <c r="B397" s="7"/>
      <c r="C397" s="4" t="s">
        <v>354</v>
      </c>
      <c r="D397" s="6" t="s">
        <v>322</v>
      </c>
      <c r="E397" s="6" t="s">
        <v>56</v>
      </c>
      <c r="F397" s="67">
        <f t="shared" ref="F397:F458" si="77">+SUM(H397:P397)</f>
        <v>28093.119573954798</v>
      </c>
      <c r="H397" s="67">
        <f t="shared" ref="H397:P412" si="78">IF(-H54&gt;G566,0,
IF((+H226+G397+IF(H54&lt;0,H54,0))&lt;0,0,(+H226+G397+IF(H54&lt;0,H54,0))))</f>
        <v>0</v>
      </c>
      <c r="I397" s="170">
        <f t="shared" si="78"/>
        <v>0</v>
      </c>
      <c r="J397" s="170">
        <f t="shared" si="78"/>
        <v>0</v>
      </c>
      <c r="K397" s="170">
        <f t="shared" si="78"/>
        <v>0</v>
      </c>
      <c r="L397" s="170">
        <f t="shared" si="78"/>
        <v>1543.5022889673094</v>
      </c>
      <c r="M397" s="170">
        <f t="shared" si="78"/>
        <v>2748.433657879129</v>
      </c>
      <c r="N397" s="170">
        <f t="shared" si="78"/>
        <v>5341.0807667909576</v>
      </c>
      <c r="O397" s="170">
        <f t="shared" si="78"/>
        <v>7933.7278757027871</v>
      </c>
      <c r="P397" s="170">
        <f t="shared" si="78"/>
        <v>10526.374984614617</v>
      </c>
    </row>
    <row r="398" spans="2:16" ht="13" hidden="1" outlineLevel="1" x14ac:dyDescent="0.3">
      <c r="B398" s="7"/>
      <c r="C398" s="4" t="s">
        <v>355</v>
      </c>
      <c r="D398" s="6" t="s">
        <v>322</v>
      </c>
      <c r="E398" s="6" t="s">
        <v>56</v>
      </c>
      <c r="F398" s="67">
        <f t="shared" si="77"/>
        <v>13838.834577583308</v>
      </c>
      <c r="H398" s="170">
        <f t="shared" si="78"/>
        <v>0</v>
      </c>
      <c r="I398" s="170">
        <f t="shared" si="78"/>
        <v>0</v>
      </c>
      <c r="J398" s="170">
        <f t="shared" si="78"/>
        <v>0</v>
      </c>
      <c r="K398" s="170">
        <f t="shared" si="78"/>
        <v>0</v>
      </c>
      <c r="L398" s="170">
        <f t="shared" si="78"/>
        <v>0</v>
      </c>
      <c r="M398" s="170">
        <f t="shared" si="78"/>
        <v>0</v>
      </c>
      <c r="N398" s="170">
        <f t="shared" si="78"/>
        <v>2306.4724295972178</v>
      </c>
      <c r="O398" s="170">
        <f t="shared" si="78"/>
        <v>4612.9448591944356</v>
      </c>
      <c r="P398" s="170">
        <f t="shared" si="78"/>
        <v>6919.4172887916538</v>
      </c>
    </row>
    <row r="399" spans="2:16" ht="13" hidden="1" outlineLevel="1" x14ac:dyDescent="0.3">
      <c r="B399" s="7"/>
      <c r="C399" s="4" t="s">
        <v>356</v>
      </c>
      <c r="D399" s="6" t="s">
        <v>322</v>
      </c>
      <c r="E399" s="6" t="s">
        <v>56</v>
      </c>
      <c r="F399" s="67">
        <f t="shared" si="77"/>
        <v>2538.1765070622214</v>
      </c>
      <c r="H399" s="170">
        <f t="shared" si="78"/>
        <v>0</v>
      </c>
      <c r="I399" s="170">
        <f t="shared" si="78"/>
        <v>0</v>
      </c>
      <c r="J399" s="170">
        <f t="shared" si="78"/>
        <v>0</v>
      </c>
      <c r="K399" s="170">
        <f t="shared" si="78"/>
        <v>0</v>
      </c>
      <c r="L399" s="170">
        <f t="shared" si="78"/>
        <v>114.62732612539064</v>
      </c>
      <c r="M399" s="170">
        <f t="shared" si="78"/>
        <v>311.13131376891744</v>
      </c>
      <c r="N399" s="170">
        <f t="shared" si="78"/>
        <v>507.63530141244428</v>
      </c>
      <c r="O399" s="170">
        <f t="shared" si="78"/>
        <v>704.13928905597106</v>
      </c>
      <c r="P399" s="170">
        <f t="shared" si="78"/>
        <v>900.64327669949785</v>
      </c>
    </row>
    <row r="400" spans="2:16" ht="13" hidden="1" outlineLevel="1" x14ac:dyDescent="0.3">
      <c r="B400" s="7"/>
      <c r="C400" s="4" t="s">
        <v>357</v>
      </c>
      <c r="D400" s="6" t="s">
        <v>322</v>
      </c>
      <c r="E400" s="6" t="s">
        <v>56</v>
      </c>
      <c r="F400" s="67">
        <f t="shared" si="77"/>
        <v>2780.5786907101983</v>
      </c>
      <c r="H400" s="170">
        <f t="shared" si="78"/>
        <v>0</v>
      </c>
      <c r="I400" s="170">
        <f t="shared" si="78"/>
        <v>0</v>
      </c>
      <c r="J400" s="170">
        <f t="shared" si="78"/>
        <v>0</v>
      </c>
      <c r="K400" s="170">
        <f t="shared" si="78"/>
        <v>0</v>
      </c>
      <c r="L400" s="170">
        <f t="shared" si="78"/>
        <v>0</v>
      </c>
      <c r="M400" s="170">
        <f t="shared" si="78"/>
        <v>0</v>
      </c>
      <c r="N400" s="170">
        <f t="shared" si="78"/>
        <v>463.42978178503307</v>
      </c>
      <c r="O400" s="170">
        <f t="shared" si="78"/>
        <v>926.85956357006614</v>
      </c>
      <c r="P400" s="170">
        <f t="shared" si="78"/>
        <v>1390.2893453550992</v>
      </c>
    </row>
    <row r="401" spans="2:16" ht="13" hidden="1" outlineLevel="1" x14ac:dyDescent="0.3">
      <c r="B401" s="7"/>
      <c r="C401" s="4" t="s">
        <v>358</v>
      </c>
      <c r="D401" s="6" t="s">
        <v>322</v>
      </c>
      <c r="E401" s="6" t="s">
        <v>56</v>
      </c>
      <c r="F401" s="67">
        <f t="shared" si="77"/>
        <v>5780.8811806592321</v>
      </c>
      <c r="H401" s="170">
        <f t="shared" si="78"/>
        <v>0</v>
      </c>
      <c r="I401" s="170">
        <f t="shared" si="78"/>
        <v>0</v>
      </c>
      <c r="J401" s="170">
        <f t="shared" si="78"/>
        <v>0</v>
      </c>
      <c r="K401" s="170">
        <f t="shared" si="78"/>
        <v>0</v>
      </c>
      <c r="L401" s="170">
        <f t="shared" si="78"/>
        <v>274.99811688253328</v>
      </c>
      <c r="M401" s="170">
        <f t="shared" si="78"/>
        <v>565.91651650719007</v>
      </c>
      <c r="N401" s="170">
        <f t="shared" si="78"/>
        <v>1106.2860161318465</v>
      </c>
      <c r="O401" s="170">
        <f t="shared" si="78"/>
        <v>1646.6555157565031</v>
      </c>
      <c r="P401" s="170">
        <f t="shared" si="78"/>
        <v>2187.0250153811594</v>
      </c>
    </row>
    <row r="402" spans="2:16" ht="13" hidden="1" outlineLevel="1" x14ac:dyDescent="0.3">
      <c r="B402" s="7"/>
      <c r="C402" s="4" t="s">
        <v>359</v>
      </c>
      <c r="D402" s="6" t="s">
        <v>322</v>
      </c>
      <c r="E402" s="6" t="s">
        <v>56</v>
      </c>
      <c r="F402" s="67">
        <f t="shared" si="77"/>
        <v>13.13287611086176</v>
      </c>
      <c r="H402" s="170">
        <f t="shared" si="78"/>
        <v>0</v>
      </c>
      <c r="I402" s="170">
        <f t="shared" si="78"/>
        <v>0</v>
      </c>
      <c r="J402" s="170">
        <f t="shared" si="78"/>
        <v>0</v>
      </c>
      <c r="K402" s="170">
        <f t="shared" si="78"/>
        <v>0</v>
      </c>
      <c r="L402" s="170">
        <f t="shared" si="78"/>
        <v>0</v>
      </c>
      <c r="M402" s="170">
        <f t="shared" si="78"/>
        <v>0</v>
      </c>
      <c r="N402" s="170">
        <f t="shared" si="78"/>
        <v>2.1888126851436267</v>
      </c>
      <c r="O402" s="170">
        <f t="shared" si="78"/>
        <v>4.3776253702872534</v>
      </c>
      <c r="P402" s="170">
        <f t="shared" si="78"/>
        <v>6.5664380554308801</v>
      </c>
    </row>
    <row r="403" spans="2:16" ht="13" hidden="1" outlineLevel="1" x14ac:dyDescent="0.3">
      <c r="B403" s="7"/>
      <c r="C403" s="4" t="s">
        <v>360</v>
      </c>
      <c r="D403" s="6" t="s">
        <v>322</v>
      </c>
      <c r="E403" s="6" t="s">
        <v>56</v>
      </c>
      <c r="F403" s="67">
        <f t="shared" si="77"/>
        <v>4368.922634999999</v>
      </c>
      <c r="H403" s="170">
        <f t="shared" si="78"/>
        <v>0</v>
      </c>
      <c r="I403" s="170">
        <f t="shared" si="78"/>
        <v>0</v>
      </c>
      <c r="J403" s="170">
        <f t="shared" si="78"/>
        <v>0</v>
      </c>
      <c r="K403" s="170">
        <f t="shared" si="78"/>
        <v>0</v>
      </c>
      <c r="L403" s="170">
        <f t="shared" si="78"/>
        <v>208.04393499999998</v>
      </c>
      <c r="M403" s="170">
        <f t="shared" si="78"/>
        <v>624.13180499999999</v>
      </c>
      <c r="N403" s="170">
        <f t="shared" si="78"/>
        <v>1040.2196749999998</v>
      </c>
      <c r="O403" s="170">
        <f t="shared" si="78"/>
        <v>1248.2636099999997</v>
      </c>
      <c r="P403" s="170">
        <f t="shared" si="78"/>
        <v>1248.2636099999997</v>
      </c>
    </row>
    <row r="404" spans="2:16" ht="13" hidden="1" outlineLevel="1" x14ac:dyDescent="0.3">
      <c r="B404" s="7"/>
      <c r="C404" s="4" t="s">
        <v>361</v>
      </c>
      <c r="D404" s="6" t="s">
        <v>322</v>
      </c>
      <c r="E404" s="6" t="s">
        <v>56</v>
      </c>
      <c r="F404" s="67">
        <f t="shared" si="77"/>
        <v>159.49727499999997</v>
      </c>
      <c r="H404" s="170">
        <f t="shared" si="78"/>
        <v>0</v>
      </c>
      <c r="I404" s="170">
        <f t="shared" si="78"/>
        <v>0</v>
      </c>
      <c r="J404" s="170">
        <f t="shared" si="78"/>
        <v>0</v>
      </c>
      <c r="K404" s="170">
        <f t="shared" si="78"/>
        <v>0</v>
      </c>
      <c r="L404" s="170">
        <f t="shared" si="78"/>
        <v>6.3798909999999998</v>
      </c>
      <c r="M404" s="170">
        <f t="shared" si="78"/>
        <v>19.139672999999998</v>
      </c>
      <c r="N404" s="170">
        <f t="shared" si="78"/>
        <v>31.899454999999996</v>
      </c>
      <c r="O404" s="170">
        <f t="shared" si="78"/>
        <v>44.659236999999997</v>
      </c>
      <c r="P404" s="170">
        <f t="shared" si="78"/>
        <v>57.419018999999999</v>
      </c>
    </row>
    <row r="405" spans="2:16" ht="13" hidden="1" outlineLevel="1" x14ac:dyDescent="0.3">
      <c r="B405" s="7"/>
      <c r="C405" s="4" t="s">
        <v>362</v>
      </c>
      <c r="D405" s="6" t="s">
        <v>322</v>
      </c>
      <c r="E405" s="6" t="s">
        <v>56</v>
      </c>
      <c r="F405" s="67">
        <f t="shared" si="77"/>
        <v>588.25328571428577</v>
      </c>
      <c r="H405" s="170">
        <f t="shared" si="78"/>
        <v>0</v>
      </c>
      <c r="I405" s="170">
        <f t="shared" si="78"/>
        <v>0</v>
      </c>
      <c r="J405" s="170">
        <f t="shared" si="78"/>
        <v>0</v>
      </c>
      <c r="K405" s="170">
        <f t="shared" si="78"/>
        <v>0</v>
      </c>
      <c r="L405" s="170">
        <f t="shared" si="78"/>
        <v>23.53013142857143</v>
      </c>
      <c r="M405" s="170">
        <f t="shared" si="78"/>
        <v>70.590394285714297</v>
      </c>
      <c r="N405" s="170">
        <f t="shared" si="78"/>
        <v>117.65065714285716</v>
      </c>
      <c r="O405" s="170">
        <f t="shared" si="78"/>
        <v>164.71092000000002</v>
      </c>
      <c r="P405" s="170">
        <f t="shared" si="78"/>
        <v>211.77118285714289</v>
      </c>
    </row>
    <row r="406" spans="2:16" ht="13" hidden="1" outlineLevel="1" x14ac:dyDescent="0.3">
      <c r="B406" s="7"/>
      <c r="C406" s="4" t="s">
        <v>363</v>
      </c>
      <c r="D406" s="6" t="s">
        <v>322</v>
      </c>
      <c r="E406" s="6" t="s">
        <v>56</v>
      </c>
      <c r="F406" s="67">
        <f t="shared" si="77"/>
        <v>20837.598237065187</v>
      </c>
      <c r="H406" s="170">
        <f t="shared" si="78"/>
        <v>0</v>
      </c>
      <c r="I406" s="170">
        <f t="shared" si="78"/>
        <v>0</v>
      </c>
      <c r="J406" s="170">
        <f t="shared" si="78"/>
        <v>0</v>
      </c>
      <c r="K406" s="170">
        <f t="shared" si="78"/>
        <v>0</v>
      </c>
      <c r="L406" s="170">
        <f t="shared" si="78"/>
        <v>0</v>
      </c>
      <c r="M406" s="170">
        <f t="shared" si="78"/>
        <v>1860.4998425951062</v>
      </c>
      <c r="N406" s="170">
        <f t="shared" si="78"/>
        <v>4093.0996537092333</v>
      </c>
      <c r="O406" s="170">
        <f t="shared" si="78"/>
        <v>6325.6994648233604</v>
      </c>
      <c r="P406" s="170">
        <f t="shared" si="78"/>
        <v>8558.2992759374865</v>
      </c>
    </row>
    <row r="407" spans="2:16" ht="13" hidden="1" outlineLevel="1" x14ac:dyDescent="0.3">
      <c r="B407" s="7"/>
      <c r="C407" s="4" t="s">
        <v>364</v>
      </c>
      <c r="D407" s="6" t="s">
        <v>322</v>
      </c>
      <c r="E407" s="6" t="s">
        <v>56</v>
      </c>
      <c r="F407" s="67">
        <f t="shared" si="77"/>
        <v>912.97223947587497</v>
      </c>
      <c r="H407" s="170">
        <f t="shared" si="78"/>
        <v>0</v>
      </c>
      <c r="I407" s="170">
        <f t="shared" si="78"/>
        <v>0</v>
      </c>
      <c r="J407" s="170">
        <f t="shared" si="78"/>
        <v>0</v>
      </c>
      <c r="K407" s="170">
        <f t="shared" si="78"/>
        <v>0</v>
      </c>
      <c r="L407" s="170">
        <f t="shared" si="78"/>
        <v>0</v>
      </c>
      <c r="M407" s="170">
        <f t="shared" si="78"/>
        <v>81.5153785246317</v>
      </c>
      <c r="N407" s="170">
        <f t="shared" si="78"/>
        <v>179.33383275418973</v>
      </c>
      <c r="O407" s="170">
        <f t="shared" si="78"/>
        <v>277.15228698374779</v>
      </c>
      <c r="P407" s="170">
        <f t="shared" si="78"/>
        <v>374.97074121330581</v>
      </c>
    </row>
    <row r="408" spans="2:16" ht="13" hidden="1" outlineLevel="1" x14ac:dyDescent="0.3">
      <c r="B408" s="7"/>
      <c r="C408" s="4" t="s">
        <v>365</v>
      </c>
      <c r="D408" s="6" t="s">
        <v>322</v>
      </c>
      <c r="E408" s="6" t="s">
        <v>56</v>
      </c>
      <c r="F408" s="67">
        <f t="shared" si="77"/>
        <v>2641.2360634596698</v>
      </c>
      <c r="H408" s="170">
        <f t="shared" si="78"/>
        <v>0</v>
      </c>
      <c r="I408" s="170">
        <f t="shared" si="78"/>
        <v>0</v>
      </c>
      <c r="J408" s="170">
        <f t="shared" si="78"/>
        <v>0</v>
      </c>
      <c r="K408" s="170">
        <f t="shared" si="78"/>
        <v>0</v>
      </c>
      <c r="L408" s="170">
        <f t="shared" si="78"/>
        <v>0</v>
      </c>
      <c r="M408" s="170">
        <f t="shared" si="78"/>
        <v>250.46204050048593</v>
      </c>
      <c r="N408" s="170">
        <f t="shared" si="78"/>
        <v>523.69335741010696</v>
      </c>
      <c r="O408" s="170">
        <f t="shared" si="78"/>
        <v>796.92467431972796</v>
      </c>
      <c r="P408" s="170">
        <f t="shared" si="78"/>
        <v>1070.155991229349</v>
      </c>
    </row>
    <row r="409" spans="2:16" hidden="1" outlineLevel="1" x14ac:dyDescent="0.25">
      <c r="C409" s="4" t="s">
        <v>366</v>
      </c>
      <c r="D409" s="6" t="s">
        <v>322</v>
      </c>
      <c r="E409" s="6" t="s">
        <v>56</v>
      </c>
      <c r="F409" s="67">
        <f t="shared" si="77"/>
        <v>897.8810586666666</v>
      </c>
      <c r="H409" s="170">
        <f t="shared" si="78"/>
        <v>0</v>
      </c>
      <c r="I409" s="170">
        <f t="shared" si="78"/>
        <v>0</v>
      </c>
      <c r="J409" s="170">
        <f t="shared" si="78"/>
        <v>0</v>
      </c>
      <c r="K409" s="170">
        <f t="shared" si="78"/>
        <v>0</v>
      </c>
      <c r="L409" s="170">
        <f t="shared" si="78"/>
        <v>0</v>
      </c>
      <c r="M409" s="170">
        <f t="shared" si="78"/>
        <v>80.167951666666667</v>
      </c>
      <c r="N409" s="170">
        <f t="shared" si="78"/>
        <v>176.36949366666667</v>
      </c>
      <c r="O409" s="170">
        <f t="shared" si="78"/>
        <v>272.57103566666666</v>
      </c>
      <c r="P409" s="170">
        <f t="shared" si="78"/>
        <v>368.77257766666668</v>
      </c>
    </row>
    <row r="410" spans="2:16" hidden="1" outlineLevel="1" x14ac:dyDescent="0.25">
      <c r="C410" s="4" t="s">
        <v>367</v>
      </c>
      <c r="D410" s="6" t="s">
        <v>322</v>
      </c>
      <c r="E410" s="6" t="s">
        <v>56</v>
      </c>
      <c r="F410" s="67">
        <f t="shared" si="77"/>
        <v>6947.4962676806081</v>
      </c>
      <c r="H410" s="170">
        <f t="shared" si="78"/>
        <v>0</v>
      </c>
      <c r="I410" s="170">
        <f t="shared" si="78"/>
        <v>0</v>
      </c>
      <c r="J410" s="170">
        <f t="shared" si="78"/>
        <v>0</v>
      </c>
      <c r="K410" s="170">
        <f t="shared" si="78"/>
        <v>0</v>
      </c>
      <c r="L410" s="170">
        <f t="shared" si="78"/>
        <v>0</v>
      </c>
      <c r="M410" s="170">
        <f t="shared" si="78"/>
        <v>620.31216675719713</v>
      </c>
      <c r="N410" s="170">
        <f t="shared" si="78"/>
        <v>1364.6867668658338</v>
      </c>
      <c r="O410" s="170">
        <f t="shared" si="78"/>
        <v>2109.0613669744703</v>
      </c>
      <c r="P410" s="170">
        <f t="shared" si="78"/>
        <v>2853.4359670831068</v>
      </c>
    </row>
    <row r="411" spans="2:16" hidden="1" outlineLevel="1" x14ac:dyDescent="0.25">
      <c r="C411" s="4" t="s">
        <v>368</v>
      </c>
      <c r="D411" s="6" t="s">
        <v>322</v>
      </c>
      <c r="E411" s="6" t="s">
        <v>56</v>
      </c>
      <c r="F411" s="67">
        <f t="shared" si="77"/>
        <v>5950.4329849999995</v>
      </c>
      <c r="H411" s="170">
        <f t="shared" si="78"/>
        <v>0</v>
      </c>
      <c r="I411" s="170">
        <f t="shared" si="78"/>
        <v>0</v>
      </c>
      <c r="J411" s="170">
        <f t="shared" si="78"/>
        <v>0</v>
      </c>
      <c r="K411" s="170">
        <f t="shared" si="78"/>
        <v>0</v>
      </c>
      <c r="L411" s="170">
        <f t="shared" si="78"/>
        <v>0</v>
      </c>
      <c r="M411" s="170">
        <f t="shared" si="78"/>
        <v>531.28865937500007</v>
      </c>
      <c r="N411" s="170">
        <f t="shared" si="78"/>
        <v>1168.8350506249999</v>
      </c>
      <c r="O411" s="170">
        <f t="shared" si="78"/>
        <v>1806.3814418749998</v>
      </c>
      <c r="P411" s="170">
        <f t="shared" si="78"/>
        <v>2443.9278331249998</v>
      </c>
    </row>
    <row r="412" spans="2:16" hidden="1" outlineLevel="1" x14ac:dyDescent="0.25">
      <c r="C412" s="4" t="s">
        <v>369</v>
      </c>
      <c r="D412" s="6" t="s">
        <v>322</v>
      </c>
      <c r="E412" s="6" t="s">
        <v>56</v>
      </c>
      <c r="F412" s="67">
        <f t="shared" si="77"/>
        <v>477.96275100000003</v>
      </c>
      <c r="H412" s="170">
        <f t="shared" si="78"/>
        <v>0</v>
      </c>
      <c r="I412" s="170">
        <f t="shared" si="78"/>
        <v>0</v>
      </c>
      <c r="J412" s="170">
        <f t="shared" si="78"/>
        <v>0</v>
      </c>
      <c r="K412" s="170">
        <f t="shared" si="78"/>
        <v>0</v>
      </c>
      <c r="L412" s="170">
        <f t="shared" si="78"/>
        <v>0</v>
      </c>
      <c r="M412" s="170">
        <f t="shared" si="78"/>
        <v>0</v>
      </c>
      <c r="N412" s="170">
        <f t="shared" si="78"/>
        <v>79.660458500000004</v>
      </c>
      <c r="O412" s="170">
        <f t="shared" si="78"/>
        <v>159.32091700000001</v>
      </c>
      <c r="P412" s="170">
        <f t="shared" si="78"/>
        <v>238.98137550000001</v>
      </c>
    </row>
    <row r="413" spans="2:16" hidden="1" outlineLevel="1" x14ac:dyDescent="0.25">
      <c r="C413" s="4" t="s">
        <v>370</v>
      </c>
      <c r="D413" s="6" t="s">
        <v>322</v>
      </c>
      <c r="E413" s="6" t="s">
        <v>56</v>
      </c>
      <c r="F413" s="67">
        <f t="shared" si="77"/>
        <v>2614.6062764725675</v>
      </c>
      <c r="H413" s="170">
        <f t="shared" ref="H413:P441" si="79">IF(-H70&gt;G582,0,
IF((+H242+G413+IF(H70&lt;0,H70,0))&lt;0,0,(+H242+G413+IF(H70&lt;0,H70,0))))</f>
        <v>0</v>
      </c>
      <c r="I413" s="170">
        <f t="shared" si="79"/>
        <v>0</v>
      </c>
      <c r="J413" s="170">
        <f t="shared" si="79"/>
        <v>0</v>
      </c>
      <c r="K413" s="170">
        <f t="shared" si="79"/>
        <v>0</v>
      </c>
      <c r="L413" s="170">
        <f t="shared" si="79"/>
        <v>0</v>
      </c>
      <c r="M413" s="170">
        <f t="shared" si="79"/>
        <v>0</v>
      </c>
      <c r="N413" s="170">
        <f t="shared" si="79"/>
        <v>435.76771274542796</v>
      </c>
      <c r="O413" s="170">
        <f t="shared" si="79"/>
        <v>871.53542549085591</v>
      </c>
      <c r="P413" s="170">
        <f t="shared" si="79"/>
        <v>1307.3031382362838</v>
      </c>
    </row>
    <row r="414" spans="2:16" hidden="1" outlineLevel="1" x14ac:dyDescent="0.25">
      <c r="C414" s="4" t="s">
        <v>371</v>
      </c>
      <c r="D414" s="6" t="s">
        <v>322</v>
      </c>
      <c r="E414" s="6" t="s">
        <v>56</v>
      </c>
      <c r="F414" s="67">
        <f t="shared" si="77"/>
        <v>7143.5286240000005</v>
      </c>
      <c r="H414" s="170">
        <f t="shared" si="79"/>
        <v>0</v>
      </c>
      <c r="I414" s="170">
        <f t="shared" si="79"/>
        <v>0</v>
      </c>
      <c r="J414" s="170">
        <f t="shared" si="79"/>
        <v>0</v>
      </c>
      <c r="K414" s="170">
        <f t="shared" si="79"/>
        <v>0</v>
      </c>
      <c r="L414" s="170">
        <f t="shared" si="79"/>
        <v>0</v>
      </c>
      <c r="M414" s="170">
        <f t="shared" si="79"/>
        <v>0</v>
      </c>
      <c r="N414" s="170">
        <f t="shared" si="79"/>
        <v>1190.5881040000002</v>
      </c>
      <c r="O414" s="170">
        <f t="shared" si="79"/>
        <v>2381.1762080000003</v>
      </c>
      <c r="P414" s="170">
        <f t="shared" si="79"/>
        <v>3571.7643120000002</v>
      </c>
    </row>
    <row r="415" spans="2:16" hidden="1" outlineLevel="1" x14ac:dyDescent="0.25">
      <c r="C415" s="4" t="s">
        <v>372</v>
      </c>
      <c r="D415" s="6" t="s">
        <v>322</v>
      </c>
      <c r="E415" s="6" t="s">
        <v>56</v>
      </c>
      <c r="F415" s="67">
        <f t="shared" si="77"/>
        <v>4115.6475090000004</v>
      </c>
      <c r="H415" s="170">
        <f t="shared" si="79"/>
        <v>0</v>
      </c>
      <c r="I415" s="170">
        <f t="shared" si="79"/>
        <v>0</v>
      </c>
      <c r="J415" s="170">
        <f t="shared" si="79"/>
        <v>0</v>
      </c>
      <c r="K415" s="170">
        <f t="shared" si="79"/>
        <v>0</v>
      </c>
      <c r="L415" s="170">
        <f t="shared" si="79"/>
        <v>0</v>
      </c>
      <c r="M415" s="170">
        <f t="shared" si="79"/>
        <v>0</v>
      </c>
      <c r="N415" s="170">
        <f t="shared" si="79"/>
        <v>685.94125150000002</v>
      </c>
      <c r="O415" s="170">
        <f t="shared" si="79"/>
        <v>1371.882503</v>
      </c>
      <c r="P415" s="170">
        <f t="shared" si="79"/>
        <v>2057.8237545000002</v>
      </c>
    </row>
    <row r="416" spans="2:16" hidden="1" outlineLevel="1" x14ac:dyDescent="0.25">
      <c r="C416" s="4" t="s">
        <v>373</v>
      </c>
      <c r="D416" s="6" t="s">
        <v>322</v>
      </c>
      <c r="E416" s="6" t="s">
        <v>56</v>
      </c>
      <c r="F416" s="67">
        <f t="shared" si="77"/>
        <v>2991.5643167080743</v>
      </c>
      <c r="H416" s="170">
        <f t="shared" si="79"/>
        <v>0</v>
      </c>
      <c r="I416" s="170">
        <f t="shared" si="79"/>
        <v>0</v>
      </c>
      <c r="J416" s="170">
        <f t="shared" si="79"/>
        <v>0</v>
      </c>
      <c r="K416" s="170">
        <f t="shared" si="79"/>
        <v>0</v>
      </c>
      <c r="L416" s="170">
        <f t="shared" si="79"/>
        <v>0</v>
      </c>
      <c r="M416" s="170">
        <f t="shared" si="79"/>
        <v>0</v>
      </c>
      <c r="N416" s="170">
        <f t="shared" si="79"/>
        <v>453.26732071334459</v>
      </c>
      <c r="O416" s="170">
        <f t="shared" si="79"/>
        <v>997.18810556935807</v>
      </c>
      <c r="P416" s="170">
        <f t="shared" si="79"/>
        <v>1541.1088904253716</v>
      </c>
    </row>
    <row r="417" spans="2:16" ht="13" hidden="1" outlineLevel="1" x14ac:dyDescent="0.3">
      <c r="B417" s="7"/>
      <c r="C417" s="4" t="s">
        <v>408</v>
      </c>
      <c r="D417" s="6" t="s">
        <v>322</v>
      </c>
      <c r="E417" s="6" t="s">
        <v>56</v>
      </c>
      <c r="F417" s="67">
        <f t="shared" si="77"/>
        <v>1594.6547078204419</v>
      </c>
      <c r="H417" s="170">
        <f t="shared" si="79"/>
        <v>20.846331409440548</v>
      </c>
      <c r="I417" s="170">
        <f t="shared" si="79"/>
        <v>0</v>
      </c>
      <c r="J417" s="170">
        <f t="shared" si="79"/>
        <v>56.207442014678612</v>
      </c>
      <c r="K417" s="170">
        <f t="shared" si="79"/>
        <v>112.41488402935722</v>
      </c>
      <c r="L417" s="170">
        <f t="shared" si="79"/>
        <v>168.62232604403584</v>
      </c>
      <c r="M417" s="170">
        <f t="shared" si="79"/>
        <v>224.82976805871445</v>
      </c>
      <c r="N417" s="170">
        <f t="shared" si="79"/>
        <v>281.03721007339306</v>
      </c>
      <c r="O417" s="170">
        <f t="shared" si="79"/>
        <v>337.24465208807169</v>
      </c>
      <c r="P417" s="170">
        <f t="shared" si="79"/>
        <v>393.45209410275032</v>
      </c>
    </row>
    <row r="418" spans="2:16" ht="13" hidden="1" outlineLevel="1" x14ac:dyDescent="0.3">
      <c r="B418" s="7"/>
      <c r="C418" s="4" t="s">
        <v>409</v>
      </c>
      <c r="D418" s="6" t="s">
        <v>322</v>
      </c>
      <c r="E418" s="6" t="s">
        <v>56</v>
      </c>
      <c r="F418" s="67">
        <f t="shared" si="77"/>
        <v>849.28407288856033</v>
      </c>
      <c r="H418" s="170">
        <f t="shared" si="79"/>
        <v>14.634713275474645</v>
      </c>
      <c r="I418" s="170">
        <f t="shared" si="79"/>
        <v>67.907784871689188</v>
      </c>
      <c r="J418" s="170">
        <f t="shared" si="79"/>
        <v>0</v>
      </c>
      <c r="K418" s="170">
        <f t="shared" si="79"/>
        <v>17.791397117764387</v>
      </c>
      <c r="L418" s="170">
        <f t="shared" si="79"/>
        <v>61.790943253418391</v>
      </c>
      <c r="M418" s="170">
        <f t="shared" si="79"/>
        <v>105.79048938907241</v>
      </c>
      <c r="N418" s="170">
        <f t="shared" si="79"/>
        <v>149.79003552472642</v>
      </c>
      <c r="O418" s="170">
        <f t="shared" si="79"/>
        <v>193.78958166038043</v>
      </c>
      <c r="P418" s="170">
        <f t="shared" si="79"/>
        <v>237.78912779603445</v>
      </c>
    </row>
    <row r="419" spans="2:16" ht="13" hidden="1" outlineLevel="1" x14ac:dyDescent="0.3">
      <c r="B419" s="7"/>
      <c r="C419" s="4" t="s">
        <v>410</v>
      </c>
      <c r="D419" s="6" t="s">
        <v>322</v>
      </c>
      <c r="E419" s="6" t="s">
        <v>56</v>
      </c>
      <c r="F419" s="67">
        <f t="shared" si="77"/>
        <v>69.4375</v>
      </c>
      <c r="H419" s="170">
        <f t="shared" si="79"/>
        <v>1.0520833333333333</v>
      </c>
      <c r="I419" s="170">
        <f t="shared" si="79"/>
        <v>4.208333333333333</v>
      </c>
      <c r="J419" s="170">
        <f t="shared" si="79"/>
        <v>7.364583333333333</v>
      </c>
      <c r="K419" s="170">
        <f t="shared" si="79"/>
        <v>9.46875</v>
      </c>
      <c r="L419" s="170">
        <f t="shared" si="79"/>
        <v>9.46875</v>
      </c>
      <c r="M419" s="170">
        <f t="shared" si="79"/>
        <v>9.46875</v>
      </c>
      <c r="N419" s="170">
        <f t="shared" si="79"/>
        <v>9.46875</v>
      </c>
      <c r="O419" s="170">
        <f t="shared" si="79"/>
        <v>9.46875</v>
      </c>
      <c r="P419" s="170">
        <f t="shared" si="79"/>
        <v>9.46875</v>
      </c>
    </row>
    <row r="420" spans="2:16" ht="13" hidden="1" outlineLevel="1" x14ac:dyDescent="0.3">
      <c r="B420" s="7"/>
      <c r="C420" s="4" t="s">
        <v>411</v>
      </c>
      <c r="D420" s="6" t="s">
        <v>322</v>
      </c>
      <c r="E420" s="6" t="s">
        <v>56</v>
      </c>
      <c r="F420" s="67">
        <f t="shared" si="77"/>
        <v>13486.620230129538</v>
      </c>
      <c r="H420" s="170">
        <f t="shared" si="79"/>
        <v>0</v>
      </c>
      <c r="I420" s="170">
        <f t="shared" si="79"/>
        <v>42.995571388888884</v>
      </c>
      <c r="J420" s="170">
        <f t="shared" si="79"/>
        <v>0</v>
      </c>
      <c r="K420" s="170">
        <f t="shared" si="79"/>
        <v>330.16175888888881</v>
      </c>
      <c r="L420" s="170">
        <f t="shared" si="79"/>
        <v>682.59727277777756</v>
      </c>
      <c r="M420" s="170">
        <f t="shared" si="79"/>
        <v>1578.8349828101627</v>
      </c>
      <c r="N420" s="170">
        <f t="shared" si="79"/>
        <v>2728.8048244768288</v>
      </c>
      <c r="O420" s="170">
        <f t="shared" si="79"/>
        <v>3803.138056699051</v>
      </c>
      <c r="P420" s="170">
        <f t="shared" si="79"/>
        <v>4320.0877630879395</v>
      </c>
    </row>
    <row r="421" spans="2:16" ht="13" hidden="1" outlineLevel="1" x14ac:dyDescent="0.3">
      <c r="B421" s="7"/>
      <c r="C421" s="4" t="s">
        <v>129</v>
      </c>
      <c r="D421" s="6" t="s">
        <v>322</v>
      </c>
      <c r="E421" s="6" t="s">
        <v>56</v>
      </c>
      <c r="F421" s="67">
        <f t="shared" si="77"/>
        <v>207.61745833333333</v>
      </c>
      <c r="H421" s="170">
        <f t="shared" si="79"/>
        <v>0</v>
      </c>
      <c r="I421" s="170">
        <f t="shared" si="79"/>
        <v>0</v>
      </c>
      <c r="J421" s="170">
        <f t="shared" si="79"/>
        <v>0</v>
      </c>
      <c r="K421" s="170">
        <f t="shared" si="79"/>
        <v>32.830472777777771</v>
      </c>
      <c r="L421" s="170">
        <f t="shared" si="79"/>
        <v>69.205819444444444</v>
      </c>
      <c r="M421" s="170">
        <f t="shared" si="79"/>
        <v>105.58116611111112</v>
      </c>
      <c r="N421" s="170">
        <f t="shared" si="79"/>
        <v>0</v>
      </c>
      <c r="O421" s="170">
        <f t="shared" si="79"/>
        <v>0</v>
      </c>
      <c r="P421" s="170">
        <f t="shared" si="79"/>
        <v>0</v>
      </c>
    </row>
    <row r="422" spans="2:16" ht="13" hidden="1" outlineLevel="1" x14ac:dyDescent="0.3">
      <c r="B422" s="7"/>
      <c r="C422" s="4" t="s">
        <v>412</v>
      </c>
      <c r="D422" s="6" t="s">
        <v>322</v>
      </c>
      <c r="E422" s="6" t="s">
        <v>56</v>
      </c>
      <c r="F422" s="67">
        <f t="shared" si="77"/>
        <v>2397.0684317559521</v>
      </c>
      <c r="H422" s="170">
        <f t="shared" si="79"/>
        <v>0</v>
      </c>
      <c r="I422" s="170">
        <f t="shared" si="79"/>
        <v>0</v>
      </c>
      <c r="J422" s="170">
        <f t="shared" si="79"/>
        <v>0</v>
      </c>
      <c r="K422" s="170">
        <f t="shared" si="79"/>
        <v>0</v>
      </c>
      <c r="L422" s="170">
        <f t="shared" si="79"/>
        <v>95.981105541666665</v>
      </c>
      <c r="M422" s="170">
        <f t="shared" si="79"/>
        <v>280.34247348809527</v>
      </c>
      <c r="N422" s="170">
        <f t="shared" si="79"/>
        <v>466.96371705952379</v>
      </c>
      <c r="O422" s="170">
        <f t="shared" si="79"/>
        <v>670.72495229761898</v>
      </c>
      <c r="P422" s="170">
        <f t="shared" si="79"/>
        <v>883.05618336904752</v>
      </c>
    </row>
    <row r="423" spans="2:16" ht="13" hidden="1" outlineLevel="1" x14ac:dyDescent="0.3">
      <c r="B423" s="7"/>
      <c r="C423" s="4" t="s">
        <v>413</v>
      </c>
      <c r="D423" s="6" t="s">
        <v>322</v>
      </c>
      <c r="E423" s="6" t="s">
        <v>56</v>
      </c>
      <c r="F423" s="67">
        <f t="shared" si="77"/>
        <v>1352.2796100875223</v>
      </c>
      <c r="H423" s="170">
        <f t="shared" si="79"/>
        <v>0</v>
      </c>
      <c r="I423" s="170">
        <f t="shared" si="79"/>
        <v>0</v>
      </c>
      <c r="J423" s="170">
        <f t="shared" si="79"/>
        <v>0</v>
      </c>
      <c r="K423" s="170">
        <f t="shared" si="79"/>
        <v>0</v>
      </c>
      <c r="L423" s="170">
        <f t="shared" si="79"/>
        <v>0</v>
      </c>
      <c r="M423" s="170">
        <f t="shared" si="79"/>
        <v>0</v>
      </c>
      <c r="N423" s="170">
        <f t="shared" si="79"/>
        <v>225.37993501458706</v>
      </c>
      <c r="O423" s="170">
        <f t="shared" si="79"/>
        <v>450.75987002917412</v>
      </c>
      <c r="P423" s="170">
        <f t="shared" si="79"/>
        <v>676.13980504376116</v>
      </c>
    </row>
    <row r="424" spans="2:16" ht="13" hidden="1" outlineLevel="1" x14ac:dyDescent="0.3">
      <c r="B424" s="7"/>
      <c r="C424" s="4" t="s">
        <v>414</v>
      </c>
      <c r="D424" s="6" t="s">
        <v>322</v>
      </c>
      <c r="E424" s="6" t="s">
        <v>56</v>
      </c>
      <c r="F424" s="67">
        <f t="shared" si="77"/>
        <v>57.218984178635552</v>
      </c>
      <c r="H424" s="170">
        <f t="shared" si="79"/>
        <v>0</v>
      </c>
      <c r="I424" s="170">
        <f t="shared" si="79"/>
        <v>0</v>
      </c>
      <c r="J424" s="170">
        <f t="shared" si="79"/>
        <v>0</v>
      </c>
      <c r="K424" s="170">
        <f t="shared" si="79"/>
        <v>0</v>
      </c>
      <c r="L424" s="170">
        <f t="shared" si="79"/>
        <v>0</v>
      </c>
      <c r="M424" s="170">
        <f t="shared" si="79"/>
        <v>0</v>
      </c>
      <c r="N424" s="170">
        <f t="shared" si="79"/>
        <v>9.5364973631059247</v>
      </c>
      <c r="O424" s="170">
        <f t="shared" si="79"/>
        <v>19.072994726211849</v>
      </c>
      <c r="P424" s="170">
        <f t="shared" si="79"/>
        <v>28.609492089317776</v>
      </c>
    </row>
    <row r="425" spans="2:16" ht="13" hidden="1" outlineLevel="1" x14ac:dyDescent="0.3">
      <c r="B425" s="7"/>
      <c r="C425" s="4" t="s">
        <v>415</v>
      </c>
      <c r="D425" s="6" t="s">
        <v>322</v>
      </c>
      <c r="E425" s="6" t="s">
        <v>56</v>
      </c>
      <c r="F425" s="67">
        <f t="shared" si="77"/>
        <v>585.3032064519748</v>
      </c>
      <c r="H425" s="170">
        <f t="shared" si="79"/>
        <v>0</v>
      </c>
      <c r="I425" s="170">
        <f t="shared" si="79"/>
        <v>0</v>
      </c>
      <c r="J425" s="170">
        <f t="shared" si="79"/>
        <v>0</v>
      </c>
      <c r="K425" s="170">
        <f t="shared" si="79"/>
        <v>0</v>
      </c>
      <c r="L425" s="170">
        <f t="shared" si="79"/>
        <v>0</v>
      </c>
      <c r="M425" s="170">
        <f t="shared" si="79"/>
        <v>0</v>
      </c>
      <c r="N425" s="170">
        <f t="shared" si="79"/>
        <v>97.550534408662472</v>
      </c>
      <c r="O425" s="170">
        <f t="shared" si="79"/>
        <v>195.10106881732494</v>
      </c>
      <c r="P425" s="170">
        <f t="shared" si="79"/>
        <v>292.6516032259874</v>
      </c>
    </row>
    <row r="426" spans="2:16" ht="13" hidden="1" outlineLevel="1" x14ac:dyDescent="0.3">
      <c r="B426" s="7"/>
      <c r="C426" s="4" t="s">
        <v>416</v>
      </c>
      <c r="D426" s="6" t="s">
        <v>322</v>
      </c>
      <c r="E426" s="6" t="s">
        <v>56</v>
      </c>
      <c r="F426" s="67">
        <f t="shared" si="77"/>
        <v>89.306767358617591</v>
      </c>
      <c r="H426" s="170">
        <f t="shared" si="79"/>
        <v>0</v>
      </c>
      <c r="I426" s="170">
        <f t="shared" si="79"/>
        <v>0</v>
      </c>
      <c r="J426" s="170">
        <f t="shared" si="79"/>
        <v>0</v>
      </c>
      <c r="K426" s="170">
        <f t="shared" si="79"/>
        <v>0</v>
      </c>
      <c r="L426" s="170">
        <f t="shared" si="79"/>
        <v>0</v>
      </c>
      <c r="M426" s="170">
        <f t="shared" si="79"/>
        <v>0</v>
      </c>
      <c r="N426" s="170">
        <f t="shared" si="79"/>
        <v>14.884461226436265</v>
      </c>
      <c r="O426" s="170">
        <f t="shared" si="79"/>
        <v>29.76892245287253</v>
      </c>
      <c r="P426" s="170">
        <f t="shared" si="79"/>
        <v>44.653383679308796</v>
      </c>
    </row>
    <row r="427" spans="2:16" ht="13" hidden="1" outlineLevel="1" x14ac:dyDescent="0.3">
      <c r="B427" s="7"/>
      <c r="C427" s="4" t="s">
        <v>417</v>
      </c>
      <c r="D427" s="6" t="s">
        <v>322</v>
      </c>
      <c r="E427" s="6" t="s">
        <v>56</v>
      </c>
      <c r="F427" s="67">
        <f t="shared" si="77"/>
        <v>1.9173450000000001</v>
      </c>
      <c r="H427" s="170">
        <f t="shared" si="79"/>
        <v>0</v>
      </c>
      <c r="I427" s="170">
        <f t="shared" si="79"/>
        <v>0</v>
      </c>
      <c r="J427" s="170">
        <f t="shared" si="79"/>
        <v>0</v>
      </c>
      <c r="K427" s="170">
        <f t="shared" si="79"/>
        <v>0</v>
      </c>
      <c r="L427" s="170">
        <f t="shared" si="79"/>
        <v>0</v>
      </c>
      <c r="M427" s="170">
        <f t="shared" si="79"/>
        <v>0.15977875</v>
      </c>
      <c r="N427" s="170">
        <f t="shared" si="79"/>
        <v>0.37281708333333335</v>
      </c>
      <c r="O427" s="170">
        <f t="shared" si="79"/>
        <v>0.58585541666666674</v>
      </c>
      <c r="P427" s="170">
        <f t="shared" si="79"/>
        <v>0.79889375000000007</v>
      </c>
    </row>
    <row r="428" spans="2:16" hidden="1" outlineLevel="1" x14ac:dyDescent="0.25">
      <c r="C428" s="4" t="s">
        <v>418</v>
      </c>
      <c r="D428" s="6" t="s">
        <v>322</v>
      </c>
      <c r="E428" s="6" t="s">
        <v>56</v>
      </c>
      <c r="F428" s="67">
        <f t="shared" si="77"/>
        <v>71.64331400359066</v>
      </c>
      <c r="H428" s="170">
        <f t="shared" si="79"/>
        <v>0</v>
      </c>
      <c r="I428" s="170">
        <f t="shared" si="79"/>
        <v>0</v>
      </c>
      <c r="J428" s="170">
        <f t="shared" si="79"/>
        <v>0</v>
      </c>
      <c r="K428" s="170">
        <f t="shared" si="79"/>
        <v>0</v>
      </c>
      <c r="L428" s="170">
        <f t="shared" si="79"/>
        <v>0</v>
      </c>
      <c r="M428" s="170">
        <f t="shared" si="79"/>
        <v>0</v>
      </c>
      <c r="N428" s="170">
        <f t="shared" si="79"/>
        <v>11.940552333931777</v>
      </c>
      <c r="O428" s="170">
        <f t="shared" si="79"/>
        <v>23.881104667863553</v>
      </c>
      <c r="P428" s="170">
        <f t="shared" si="79"/>
        <v>35.82165700179533</v>
      </c>
    </row>
    <row r="429" spans="2:16" hidden="1" outlineLevel="1" x14ac:dyDescent="0.25">
      <c r="C429" s="4" t="s">
        <v>419</v>
      </c>
      <c r="D429" s="6" t="s">
        <v>322</v>
      </c>
      <c r="E429" s="6" t="s">
        <v>56</v>
      </c>
      <c r="F429" s="67">
        <f t="shared" si="77"/>
        <v>309.80826399236986</v>
      </c>
      <c r="H429" s="170">
        <f t="shared" si="79"/>
        <v>0</v>
      </c>
      <c r="I429" s="170">
        <f t="shared" si="79"/>
        <v>0</v>
      </c>
      <c r="J429" s="170">
        <f t="shared" si="79"/>
        <v>0</v>
      </c>
      <c r="K429" s="170">
        <f t="shared" si="79"/>
        <v>0</v>
      </c>
      <c r="L429" s="170">
        <f t="shared" si="79"/>
        <v>0</v>
      </c>
      <c r="M429" s="170">
        <f t="shared" si="79"/>
        <v>0</v>
      </c>
      <c r="N429" s="170">
        <f t="shared" si="79"/>
        <v>51.634710665394977</v>
      </c>
      <c r="O429" s="170">
        <f t="shared" si="79"/>
        <v>103.26942133078995</v>
      </c>
      <c r="P429" s="170">
        <f t="shared" si="79"/>
        <v>154.90413199618493</v>
      </c>
    </row>
    <row r="430" spans="2:16" hidden="1" outlineLevel="1" x14ac:dyDescent="0.25">
      <c r="C430" s="4" t="s">
        <v>420</v>
      </c>
      <c r="D430" s="6" t="s">
        <v>322</v>
      </c>
      <c r="E430" s="6" t="s">
        <v>56</v>
      </c>
      <c r="F430" s="67">
        <f t="shared" si="77"/>
        <v>6.1434021543985633</v>
      </c>
      <c r="H430" s="170">
        <f t="shared" si="79"/>
        <v>0</v>
      </c>
      <c r="I430" s="170">
        <f t="shared" si="79"/>
        <v>0</v>
      </c>
      <c r="J430" s="170">
        <f t="shared" si="79"/>
        <v>0</v>
      </c>
      <c r="K430" s="170">
        <f t="shared" si="79"/>
        <v>0</v>
      </c>
      <c r="L430" s="170">
        <f t="shared" si="79"/>
        <v>0</v>
      </c>
      <c r="M430" s="170">
        <f t="shared" si="79"/>
        <v>0</v>
      </c>
      <c r="N430" s="170">
        <f t="shared" si="79"/>
        <v>1.0239003590664273</v>
      </c>
      <c r="O430" s="170">
        <f t="shared" si="79"/>
        <v>2.0478007181328546</v>
      </c>
      <c r="P430" s="170">
        <f t="shared" si="79"/>
        <v>3.0717010771992816</v>
      </c>
    </row>
    <row r="431" spans="2:16" hidden="1" outlineLevel="1" x14ac:dyDescent="0.25">
      <c r="C431" s="4" t="s">
        <v>421</v>
      </c>
      <c r="D431" s="6" t="s">
        <v>322</v>
      </c>
      <c r="E431" s="6" t="s">
        <v>56</v>
      </c>
      <c r="F431" s="67">
        <f t="shared" si="77"/>
        <v>13.258518514362656</v>
      </c>
      <c r="H431" s="170">
        <f t="shared" si="79"/>
        <v>0</v>
      </c>
      <c r="I431" s="170">
        <f t="shared" si="79"/>
        <v>0</v>
      </c>
      <c r="J431" s="170">
        <f t="shared" si="79"/>
        <v>0</v>
      </c>
      <c r="K431" s="170">
        <f t="shared" si="79"/>
        <v>0</v>
      </c>
      <c r="L431" s="170">
        <f t="shared" si="79"/>
        <v>0</v>
      </c>
      <c r="M431" s="170">
        <f t="shared" si="79"/>
        <v>0</v>
      </c>
      <c r="N431" s="170">
        <f t="shared" si="79"/>
        <v>2.2097530857271095</v>
      </c>
      <c r="O431" s="170">
        <f t="shared" si="79"/>
        <v>4.419506171454219</v>
      </c>
      <c r="P431" s="170">
        <f t="shared" si="79"/>
        <v>6.629259257181328</v>
      </c>
    </row>
    <row r="432" spans="2:16" hidden="1" outlineLevel="1" x14ac:dyDescent="0.25">
      <c r="C432" s="4" t="s">
        <v>422</v>
      </c>
      <c r="D432" s="6" t="s">
        <v>322</v>
      </c>
      <c r="E432" s="6" t="s">
        <v>56</v>
      </c>
      <c r="F432" s="67">
        <f t="shared" si="77"/>
        <v>602.12378748877916</v>
      </c>
      <c r="H432" s="170">
        <f t="shared" si="79"/>
        <v>0</v>
      </c>
      <c r="I432" s="170">
        <f t="shared" si="79"/>
        <v>0</v>
      </c>
      <c r="J432" s="170">
        <f t="shared" si="79"/>
        <v>0</v>
      </c>
      <c r="K432" s="170">
        <f t="shared" si="79"/>
        <v>0</v>
      </c>
      <c r="L432" s="170">
        <f t="shared" si="79"/>
        <v>0</v>
      </c>
      <c r="M432" s="170">
        <f t="shared" si="79"/>
        <v>0</v>
      </c>
      <c r="N432" s="170">
        <f t="shared" si="79"/>
        <v>100.35396458146319</v>
      </c>
      <c r="O432" s="170">
        <f t="shared" si="79"/>
        <v>200.70792916292638</v>
      </c>
      <c r="P432" s="170">
        <f t="shared" si="79"/>
        <v>301.06189374438958</v>
      </c>
    </row>
    <row r="433" spans="3:16" hidden="1" outlineLevel="1" x14ac:dyDescent="0.25">
      <c r="C433" s="4" t="s">
        <v>423</v>
      </c>
      <c r="D433" s="6" t="s">
        <v>322</v>
      </c>
      <c r="E433" s="6" t="s">
        <v>56</v>
      </c>
      <c r="F433" s="67">
        <f t="shared" si="77"/>
        <v>904.89523401032307</v>
      </c>
      <c r="H433" s="170">
        <f t="shared" si="79"/>
        <v>0</v>
      </c>
      <c r="I433" s="170">
        <f t="shared" si="79"/>
        <v>0</v>
      </c>
      <c r="J433" s="170">
        <f t="shared" si="79"/>
        <v>0</v>
      </c>
      <c r="K433" s="170">
        <f t="shared" si="79"/>
        <v>0</v>
      </c>
      <c r="L433" s="170">
        <f t="shared" si="79"/>
        <v>0</v>
      </c>
      <c r="M433" s="170">
        <f t="shared" si="79"/>
        <v>0</v>
      </c>
      <c r="N433" s="170">
        <f t="shared" si="79"/>
        <v>150.81587233505385</v>
      </c>
      <c r="O433" s="170">
        <f t="shared" si="79"/>
        <v>301.63174467010771</v>
      </c>
      <c r="P433" s="170">
        <f t="shared" si="79"/>
        <v>452.44761700516153</v>
      </c>
    </row>
    <row r="434" spans="3:16" hidden="1" outlineLevel="1" x14ac:dyDescent="0.25">
      <c r="C434" s="4" t="s">
        <v>424</v>
      </c>
      <c r="D434" s="6" t="s">
        <v>322</v>
      </c>
      <c r="E434" s="6" t="s">
        <v>56</v>
      </c>
      <c r="F434" s="67">
        <f t="shared" si="77"/>
        <v>436.06163866696585</v>
      </c>
      <c r="H434" s="170">
        <f t="shared" si="79"/>
        <v>0</v>
      </c>
      <c r="I434" s="170">
        <f t="shared" si="79"/>
        <v>0</v>
      </c>
      <c r="J434" s="170">
        <f t="shared" si="79"/>
        <v>0</v>
      </c>
      <c r="K434" s="170">
        <f t="shared" si="79"/>
        <v>0</v>
      </c>
      <c r="L434" s="170">
        <f t="shared" si="79"/>
        <v>0</v>
      </c>
      <c r="M434" s="170">
        <f t="shared" si="79"/>
        <v>0</v>
      </c>
      <c r="N434" s="170">
        <f t="shared" si="79"/>
        <v>72.676939777827641</v>
      </c>
      <c r="O434" s="170">
        <f t="shared" si="79"/>
        <v>145.35387955565528</v>
      </c>
      <c r="P434" s="170">
        <f t="shared" si="79"/>
        <v>218.03081933348292</v>
      </c>
    </row>
    <row r="435" spans="3:16" hidden="1" outlineLevel="1" x14ac:dyDescent="0.25">
      <c r="C435" s="4" t="s">
        <v>425</v>
      </c>
      <c r="D435" s="6" t="s">
        <v>322</v>
      </c>
      <c r="E435" s="6" t="s">
        <v>56</v>
      </c>
      <c r="F435" s="67">
        <f t="shared" si="77"/>
        <v>24.310297486535006</v>
      </c>
      <c r="H435" s="170">
        <f t="shared" si="79"/>
        <v>0</v>
      </c>
      <c r="I435" s="170">
        <f t="shared" si="79"/>
        <v>0</v>
      </c>
      <c r="J435" s="170">
        <f t="shared" si="79"/>
        <v>0</v>
      </c>
      <c r="K435" s="170">
        <f t="shared" si="79"/>
        <v>0</v>
      </c>
      <c r="L435" s="170">
        <f t="shared" si="79"/>
        <v>0</v>
      </c>
      <c r="M435" s="170">
        <f t="shared" si="79"/>
        <v>0</v>
      </c>
      <c r="N435" s="170">
        <f t="shared" si="79"/>
        <v>4.0517162477558344</v>
      </c>
      <c r="O435" s="170">
        <f t="shared" si="79"/>
        <v>8.1034324955116688</v>
      </c>
      <c r="P435" s="170">
        <f t="shared" si="79"/>
        <v>12.155148743267503</v>
      </c>
    </row>
    <row r="436" spans="3:16" hidden="1" outlineLevel="1" x14ac:dyDescent="0.25">
      <c r="C436" s="4" t="s">
        <v>426</v>
      </c>
      <c r="D436" s="6" t="s">
        <v>322</v>
      </c>
      <c r="E436" s="6" t="s">
        <v>56</v>
      </c>
      <c r="F436" s="67">
        <f t="shared" si="77"/>
        <v>270.14075614901253</v>
      </c>
      <c r="H436" s="170">
        <f t="shared" si="79"/>
        <v>0</v>
      </c>
      <c r="I436" s="170">
        <f t="shared" si="79"/>
        <v>0</v>
      </c>
      <c r="J436" s="170">
        <f t="shared" si="79"/>
        <v>0</v>
      </c>
      <c r="K436" s="170">
        <f t="shared" si="79"/>
        <v>0</v>
      </c>
      <c r="L436" s="170">
        <f t="shared" si="79"/>
        <v>0</v>
      </c>
      <c r="M436" s="170">
        <f t="shared" si="79"/>
        <v>0</v>
      </c>
      <c r="N436" s="170">
        <f t="shared" si="79"/>
        <v>45.023459358168758</v>
      </c>
      <c r="O436" s="170">
        <f t="shared" si="79"/>
        <v>90.046918716337515</v>
      </c>
      <c r="P436" s="170">
        <f t="shared" si="79"/>
        <v>135.07037807450627</v>
      </c>
    </row>
    <row r="437" spans="3:16" hidden="1" outlineLevel="1" x14ac:dyDescent="0.25">
      <c r="C437" s="4" t="s">
        <v>427</v>
      </c>
      <c r="D437" s="6" t="s">
        <v>322</v>
      </c>
      <c r="E437" s="6" t="s">
        <v>56</v>
      </c>
      <c r="F437" s="67">
        <f t="shared" si="77"/>
        <v>251.27067717684019</v>
      </c>
      <c r="H437" s="170">
        <f t="shared" si="79"/>
        <v>0</v>
      </c>
      <c r="I437" s="170">
        <f t="shared" si="79"/>
        <v>0</v>
      </c>
      <c r="J437" s="170">
        <f t="shared" si="79"/>
        <v>0</v>
      </c>
      <c r="K437" s="170">
        <f t="shared" si="79"/>
        <v>0</v>
      </c>
      <c r="L437" s="170">
        <f t="shared" si="79"/>
        <v>0</v>
      </c>
      <c r="M437" s="170">
        <f t="shared" si="79"/>
        <v>0</v>
      </c>
      <c r="N437" s="170">
        <f t="shared" si="79"/>
        <v>41.878446196140032</v>
      </c>
      <c r="O437" s="170">
        <f t="shared" si="79"/>
        <v>83.756892392280065</v>
      </c>
      <c r="P437" s="170">
        <f t="shared" si="79"/>
        <v>125.6353385884201</v>
      </c>
    </row>
    <row r="438" spans="3:16" hidden="1" outlineLevel="1" x14ac:dyDescent="0.25">
      <c r="C438" s="4" t="s">
        <v>428</v>
      </c>
      <c r="D438" s="6" t="s">
        <v>322</v>
      </c>
      <c r="E438" s="6" t="s">
        <v>56</v>
      </c>
      <c r="F438" s="67">
        <f t="shared" si="77"/>
        <v>204.98414989901249</v>
      </c>
      <c r="H438" s="170">
        <f t="shared" si="79"/>
        <v>0</v>
      </c>
      <c r="I438" s="170">
        <f t="shared" si="79"/>
        <v>0</v>
      </c>
      <c r="J438" s="170">
        <f t="shared" si="79"/>
        <v>0</v>
      </c>
      <c r="K438" s="170">
        <f t="shared" si="79"/>
        <v>0</v>
      </c>
      <c r="L438" s="170">
        <f t="shared" si="79"/>
        <v>0</v>
      </c>
      <c r="M438" s="170">
        <f t="shared" si="79"/>
        <v>0</v>
      </c>
      <c r="N438" s="170">
        <f t="shared" si="79"/>
        <v>34.164024983168751</v>
      </c>
      <c r="O438" s="170">
        <f t="shared" si="79"/>
        <v>68.328049966337502</v>
      </c>
      <c r="P438" s="170">
        <f t="shared" si="79"/>
        <v>102.49207494950625</v>
      </c>
    </row>
    <row r="439" spans="3:16" hidden="1" outlineLevel="1" x14ac:dyDescent="0.25">
      <c r="C439" s="4" t="s">
        <v>429</v>
      </c>
      <c r="D439" s="6" t="s">
        <v>322</v>
      </c>
      <c r="E439" s="6" t="s">
        <v>56</v>
      </c>
      <c r="F439" s="67">
        <f t="shared" si="77"/>
        <v>364.30834056328564</v>
      </c>
      <c r="H439" s="170">
        <f t="shared" si="79"/>
        <v>0</v>
      </c>
      <c r="I439" s="170">
        <f t="shared" si="79"/>
        <v>0</v>
      </c>
      <c r="J439" s="170">
        <f t="shared" si="79"/>
        <v>0</v>
      </c>
      <c r="K439" s="170">
        <f t="shared" si="79"/>
        <v>0</v>
      </c>
      <c r="L439" s="170">
        <f t="shared" si="79"/>
        <v>0</v>
      </c>
      <c r="M439" s="170">
        <f t="shared" si="79"/>
        <v>0</v>
      </c>
      <c r="N439" s="170">
        <f t="shared" si="79"/>
        <v>60.718056760547604</v>
      </c>
      <c r="O439" s="170">
        <f t="shared" si="79"/>
        <v>121.43611352109521</v>
      </c>
      <c r="P439" s="170">
        <f t="shared" si="79"/>
        <v>182.15417028164282</v>
      </c>
    </row>
    <row r="440" spans="3:16" hidden="1" outlineLevel="1" x14ac:dyDescent="0.25">
      <c r="C440" s="4" t="s">
        <v>430</v>
      </c>
      <c r="D440" s="6" t="s">
        <v>322</v>
      </c>
      <c r="E440" s="6" t="s">
        <v>56</v>
      </c>
      <c r="F440" s="67">
        <f t="shared" si="77"/>
        <v>342.23434958482937</v>
      </c>
      <c r="H440" s="170">
        <f t="shared" si="79"/>
        <v>0</v>
      </c>
      <c r="I440" s="170">
        <f t="shared" si="79"/>
        <v>0</v>
      </c>
      <c r="J440" s="170">
        <f t="shared" si="79"/>
        <v>0</v>
      </c>
      <c r="K440" s="170">
        <f t="shared" si="79"/>
        <v>0</v>
      </c>
      <c r="L440" s="170">
        <f t="shared" si="79"/>
        <v>0</v>
      </c>
      <c r="M440" s="170">
        <f t="shared" si="79"/>
        <v>0</v>
      </c>
      <c r="N440" s="170">
        <f t="shared" si="79"/>
        <v>57.039058264138227</v>
      </c>
      <c r="O440" s="170">
        <f t="shared" si="79"/>
        <v>114.07811652827645</v>
      </c>
      <c r="P440" s="170">
        <f t="shared" si="79"/>
        <v>171.11717479241469</v>
      </c>
    </row>
    <row r="441" spans="3:16" hidden="1" outlineLevel="1" x14ac:dyDescent="0.25">
      <c r="C441" s="4" t="s">
        <v>431</v>
      </c>
      <c r="D441" s="6" t="s">
        <v>322</v>
      </c>
      <c r="E441" s="6" t="s">
        <v>56</v>
      </c>
      <c r="F441" s="67">
        <f t="shared" si="77"/>
        <v>133.87280046005387</v>
      </c>
      <c r="H441" s="170">
        <f t="shared" si="79"/>
        <v>0</v>
      </c>
      <c r="I441" s="170">
        <f t="shared" si="79"/>
        <v>0</v>
      </c>
      <c r="J441" s="170">
        <f t="shared" si="79"/>
        <v>0</v>
      </c>
      <c r="K441" s="170">
        <f t="shared" ref="H441:P463" si="80">IF(-K98&gt;J610,0,
IF((+K270+J441+IF(K98&lt;0,K98,0))&lt;0,0,(+K270+J441+IF(K98&lt;0,K98,0))))</f>
        <v>0</v>
      </c>
      <c r="L441" s="170">
        <f t="shared" si="80"/>
        <v>0</v>
      </c>
      <c r="M441" s="170">
        <f t="shared" si="80"/>
        <v>0</v>
      </c>
      <c r="N441" s="170">
        <f t="shared" si="80"/>
        <v>22.312133410008979</v>
      </c>
      <c r="O441" s="170">
        <f t="shared" si="80"/>
        <v>44.624266820017958</v>
      </c>
      <c r="P441" s="170">
        <f t="shared" si="80"/>
        <v>66.936400230026933</v>
      </c>
    </row>
    <row r="442" spans="3:16" hidden="1" outlineLevel="1" x14ac:dyDescent="0.25">
      <c r="C442" s="4" t="s">
        <v>432</v>
      </c>
      <c r="D442" s="6" t="s">
        <v>322</v>
      </c>
      <c r="E442" s="6" t="s">
        <v>56</v>
      </c>
      <c r="F442" s="67">
        <f t="shared" si="77"/>
        <v>90.876866135547573</v>
      </c>
      <c r="H442" s="170">
        <f t="shared" si="80"/>
        <v>0</v>
      </c>
      <c r="I442" s="170">
        <f t="shared" si="80"/>
        <v>0</v>
      </c>
      <c r="J442" s="170">
        <f t="shared" si="80"/>
        <v>0</v>
      </c>
      <c r="K442" s="170">
        <f t="shared" si="80"/>
        <v>0</v>
      </c>
      <c r="L442" s="170">
        <f t="shared" si="80"/>
        <v>0</v>
      </c>
      <c r="M442" s="170">
        <f t="shared" si="80"/>
        <v>0</v>
      </c>
      <c r="N442" s="170">
        <f t="shared" si="80"/>
        <v>15.146144355924596</v>
      </c>
      <c r="O442" s="170">
        <f t="shared" si="80"/>
        <v>30.292288711849192</v>
      </c>
      <c r="P442" s="170">
        <f t="shared" si="80"/>
        <v>45.438433067773786</v>
      </c>
    </row>
    <row r="443" spans="3:16" hidden="1" outlineLevel="1" x14ac:dyDescent="0.25">
      <c r="C443" s="4" t="s">
        <v>433</v>
      </c>
      <c r="D443" s="6" t="s">
        <v>322</v>
      </c>
      <c r="E443" s="6" t="s">
        <v>56</v>
      </c>
      <c r="F443" s="67">
        <f t="shared" si="77"/>
        <v>13.288793200179533</v>
      </c>
      <c r="H443" s="170">
        <f t="shared" si="80"/>
        <v>0</v>
      </c>
      <c r="I443" s="170">
        <f t="shared" si="80"/>
        <v>0</v>
      </c>
      <c r="J443" s="170">
        <f t="shared" si="80"/>
        <v>0</v>
      </c>
      <c r="K443" s="170">
        <f t="shared" si="80"/>
        <v>0</v>
      </c>
      <c r="L443" s="170">
        <f t="shared" si="80"/>
        <v>0</v>
      </c>
      <c r="M443" s="170">
        <f t="shared" si="80"/>
        <v>0</v>
      </c>
      <c r="N443" s="170">
        <f t="shared" si="80"/>
        <v>2.2147988666965888</v>
      </c>
      <c r="O443" s="170">
        <f t="shared" si="80"/>
        <v>4.4295977333931775</v>
      </c>
      <c r="P443" s="170">
        <f t="shared" si="80"/>
        <v>6.6443966000897667</v>
      </c>
    </row>
    <row r="444" spans="3:16" hidden="1" outlineLevel="1" x14ac:dyDescent="0.25">
      <c r="C444" s="4" t="s">
        <v>434</v>
      </c>
      <c r="D444" s="6" t="s">
        <v>322</v>
      </c>
      <c r="E444" s="6" t="s">
        <v>56</v>
      </c>
      <c r="F444" s="67">
        <f t="shared" si="77"/>
        <v>203.80044900134649</v>
      </c>
      <c r="H444" s="170">
        <f t="shared" si="80"/>
        <v>0</v>
      </c>
      <c r="I444" s="170">
        <f t="shared" si="80"/>
        <v>0</v>
      </c>
      <c r="J444" s="170">
        <f t="shared" si="80"/>
        <v>0</v>
      </c>
      <c r="K444" s="170">
        <f t="shared" si="80"/>
        <v>0</v>
      </c>
      <c r="L444" s="170">
        <f t="shared" si="80"/>
        <v>0</v>
      </c>
      <c r="M444" s="170">
        <f t="shared" si="80"/>
        <v>0</v>
      </c>
      <c r="N444" s="170">
        <f t="shared" si="80"/>
        <v>33.966741500224416</v>
      </c>
      <c r="O444" s="170">
        <f t="shared" si="80"/>
        <v>67.933483000448831</v>
      </c>
      <c r="P444" s="170">
        <f t="shared" si="80"/>
        <v>101.90022450067325</v>
      </c>
    </row>
    <row r="445" spans="3:16" hidden="1" outlineLevel="1" x14ac:dyDescent="0.25">
      <c r="C445" s="4" t="s">
        <v>435</v>
      </c>
      <c r="D445" s="6" t="s">
        <v>322</v>
      </c>
      <c r="E445" s="6" t="s">
        <v>56</v>
      </c>
      <c r="F445" s="67">
        <f t="shared" si="77"/>
        <v>64.135388509874289</v>
      </c>
      <c r="H445" s="170">
        <f t="shared" si="80"/>
        <v>0</v>
      </c>
      <c r="I445" s="170">
        <f t="shared" si="80"/>
        <v>0</v>
      </c>
      <c r="J445" s="170">
        <f t="shared" si="80"/>
        <v>0</v>
      </c>
      <c r="K445" s="170">
        <f t="shared" si="80"/>
        <v>0</v>
      </c>
      <c r="L445" s="170">
        <f t="shared" si="80"/>
        <v>0</v>
      </c>
      <c r="M445" s="170">
        <f t="shared" si="80"/>
        <v>0</v>
      </c>
      <c r="N445" s="170">
        <f t="shared" si="80"/>
        <v>10.689231418312382</v>
      </c>
      <c r="O445" s="170">
        <f t="shared" si="80"/>
        <v>21.378462836624763</v>
      </c>
      <c r="P445" s="170">
        <f t="shared" si="80"/>
        <v>32.067694254937145</v>
      </c>
    </row>
    <row r="446" spans="3:16" hidden="1" outlineLevel="1" x14ac:dyDescent="0.25">
      <c r="C446" s="4" t="s">
        <v>436</v>
      </c>
      <c r="D446" s="6" t="s">
        <v>322</v>
      </c>
      <c r="E446" s="6" t="s">
        <v>56</v>
      </c>
      <c r="F446" s="67">
        <f t="shared" si="77"/>
        <v>52.574930924596046</v>
      </c>
      <c r="H446" s="170">
        <f t="shared" si="80"/>
        <v>0</v>
      </c>
      <c r="I446" s="170">
        <f t="shared" si="80"/>
        <v>0</v>
      </c>
      <c r="J446" s="170">
        <f t="shared" si="80"/>
        <v>0</v>
      </c>
      <c r="K446" s="170">
        <f t="shared" si="80"/>
        <v>0</v>
      </c>
      <c r="L446" s="170">
        <f t="shared" si="80"/>
        <v>0</v>
      </c>
      <c r="M446" s="170">
        <f t="shared" si="80"/>
        <v>0</v>
      </c>
      <c r="N446" s="170">
        <f t="shared" si="80"/>
        <v>8.7624884874326749</v>
      </c>
      <c r="O446" s="170">
        <f t="shared" si="80"/>
        <v>17.52497697486535</v>
      </c>
      <c r="P446" s="170">
        <f t="shared" si="80"/>
        <v>26.287465462298023</v>
      </c>
    </row>
    <row r="447" spans="3:16" hidden="1" outlineLevel="1" x14ac:dyDescent="0.25">
      <c r="C447" s="4" t="s">
        <v>437</v>
      </c>
      <c r="D447" s="6" t="s">
        <v>322</v>
      </c>
      <c r="E447" s="6" t="s">
        <v>56</v>
      </c>
      <c r="F447" s="67">
        <f t="shared" si="77"/>
        <v>31.351813431328544</v>
      </c>
      <c r="H447" s="170">
        <f t="shared" si="80"/>
        <v>0</v>
      </c>
      <c r="I447" s="170">
        <f t="shared" si="80"/>
        <v>0</v>
      </c>
      <c r="J447" s="170">
        <f t="shared" si="80"/>
        <v>0</v>
      </c>
      <c r="K447" s="170">
        <f t="shared" si="80"/>
        <v>0</v>
      </c>
      <c r="L447" s="170">
        <f t="shared" si="80"/>
        <v>0</v>
      </c>
      <c r="M447" s="170">
        <f t="shared" si="80"/>
        <v>0</v>
      </c>
      <c r="N447" s="170">
        <f t="shared" si="80"/>
        <v>5.2253022385547574</v>
      </c>
      <c r="O447" s="170">
        <f t="shared" si="80"/>
        <v>10.450604477109515</v>
      </c>
      <c r="P447" s="170">
        <f t="shared" si="80"/>
        <v>15.675906715664272</v>
      </c>
    </row>
    <row r="448" spans="3:16" hidden="1" outlineLevel="1" x14ac:dyDescent="0.25">
      <c r="C448" s="4" t="s">
        <v>438</v>
      </c>
      <c r="D448" s="6" t="s">
        <v>322</v>
      </c>
      <c r="E448" s="6" t="s">
        <v>56</v>
      </c>
      <c r="F448" s="67">
        <f t="shared" si="77"/>
        <v>325.10695230026931</v>
      </c>
      <c r="H448" s="170">
        <f t="shared" si="80"/>
        <v>0</v>
      </c>
      <c r="I448" s="170">
        <f t="shared" si="80"/>
        <v>0</v>
      </c>
      <c r="J448" s="170">
        <f t="shared" si="80"/>
        <v>0</v>
      </c>
      <c r="K448" s="170">
        <f t="shared" si="80"/>
        <v>0</v>
      </c>
      <c r="L448" s="170">
        <f t="shared" si="80"/>
        <v>0</v>
      </c>
      <c r="M448" s="170">
        <f t="shared" si="80"/>
        <v>0</v>
      </c>
      <c r="N448" s="170">
        <f t="shared" si="80"/>
        <v>54.184492050044888</v>
      </c>
      <c r="O448" s="170">
        <f t="shared" si="80"/>
        <v>108.36898410008978</v>
      </c>
      <c r="P448" s="170">
        <f t="shared" si="80"/>
        <v>162.55347615013466</v>
      </c>
    </row>
    <row r="449" spans="3:16" hidden="1" outlineLevel="1" x14ac:dyDescent="0.25">
      <c r="C449" s="4" t="s">
        <v>439</v>
      </c>
      <c r="D449" s="6" t="s">
        <v>322</v>
      </c>
      <c r="E449" s="6" t="s">
        <v>56</v>
      </c>
      <c r="F449" s="67">
        <f t="shared" si="77"/>
        <v>2.580228904847397</v>
      </c>
      <c r="H449" s="170">
        <f t="shared" si="80"/>
        <v>0</v>
      </c>
      <c r="I449" s="170">
        <f t="shared" si="80"/>
        <v>0</v>
      </c>
      <c r="J449" s="170">
        <f t="shared" si="80"/>
        <v>0</v>
      </c>
      <c r="K449" s="170">
        <f t="shared" si="80"/>
        <v>0</v>
      </c>
      <c r="L449" s="170">
        <f t="shared" si="80"/>
        <v>0</v>
      </c>
      <c r="M449" s="170">
        <f t="shared" si="80"/>
        <v>0</v>
      </c>
      <c r="N449" s="170">
        <f t="shared" si="80"/>
        <v>0.43003815080789948</v>
      </c>
      <c r="O449" s="170">
        <f t="shared" si="80"/>
        <v>0.86007630161579895</v>
      </c>
      <c r="P449" s="170">
        <f t="shared" si="80"/>
        <v>1.2901144524236985</v>
      </c>
    </row>
    <row r="450" spans="3:16" hidden="1" outlineLevel="1" x14ac:dyDescent="0.25">
      <c r="C450" s="4" t="s">
        <v>440</v>
      </c>
      <c r="D450" s="6" t="s">
        <v>322</v>
      </c>
      <c r="E450" s="6" t="s">
        <v>56</v>
      </c>
      <c r="F450" s="67">
        <f t="shared" si="77"/>
        <v>14.991948238330341</v>
      </c>
      <c r="H450" s="170">
        <f t="shared" si="80"/>
        <v>0</v>
      </c>
      <c r="I450" s="170">
        <f t="shared" si="80"/>
        <v>0</v>
      </c>
      <c r="J450" s="170">
        <f t="shared" si="80"/>
        <v>0</v>
      </c>
      <c r="K450" s="170">
        <f t="shared" si="80"/>
        <v>0</v>
      </c>
      <c r="L450" s="170">
        <f t="shared" si="80"/>
        <v>0</v>
      </c>
      <c r="M450" s="170">
        <f t="shared" si="80"/>
        <v>0</v>
      </c>
      <c r="N450" s="170">
        <f t="shared" si="80"/>
        <v>2.4986580397217235</v>
      </c>
      <c r="O450" s="170">
        <f t="shared" si="80"/>
        <v>4.997316079443447</v>
      </c>
      <c r="P450" s="170">
        <f t="shared" si="80"/>
        <v>7.4959741191651705</v>
      </c>
    </row>
    <row r="451" spans="3:16" hidden="1" outlineLevel="1" x14ac:dyDescent="0.25">
      <c r="C451" s="4" t="s">
        <v>441</v>
      </c>
      <c r="D451" s="6" t="s">
        <v>322</v>
      </c>
      <c r="E451" s="6" t="s">
        <v>56</v>
      </c>
      <c r="F451" s="67">
        <f t="shared" si="77"/>
        <v>98.08992307001796</v>
      </c>
      <c r="H451" s="170">
        <f t="shared" si="80"/>
        <v>0</v>
      </c>
      <c r="I451" s="170">
        <f t="shared" si="80"/>
        <v>0</v>
      </c>
      <c r="J451" s="170">
        <f t="shared" si="80"/>
        <v>0</v>
      </c>
      <c r="K451" s="170">
        <f t="shared" si="80"/>
        <v>0</v>
      </c>
      <c r="L451" s="170">
        <f t="shared" si="80"/>
        <v>0</v>
      </c>
      <c r="M451" s="170">
        <f t="shared" si="80"/>
        <v>0</v>
      </c>
      <c r="N451" s="170">
        <f t="shared" si="80"/>
        <v>16.348320511669659</v>
      </c>
      <c r="O451" s="170">
        <f t="shared" si="80"/>
        <v>32.696641023339318</v>
      </c>
      <c r="P451" s="170">
        <f t="shared" si="80"/>
        <v>49.04496153500898</v>
      </c>
    </row>
    <row r="452" spans="3:16" hidden="1" outlineLevel="1" x14ac:dyDescent="0.25">
      <c r="C452" s="4" t="s">
        <v>442</v>
      </c>
      <c r="D452" s="6" t="s">
        <v>322</v>
      </c>
      <c r="E452" s="6" t="s">
        <v>56</v>
      </c>
      <c r="F452" s="67">
        <f t="shared" si="77"/>
        <v>763.23535923473969</v>
      </c>
      <c r="H452" s="170">
        <f t="shared" si="80"/>
        <v>0</v>
      </c>
      <c r="I452" s="170">
        <f t="shared" si="80"/>
        <v>0</v>
      </c>
      <c r="J452" s="170">
        <f t="shared" si="80"/>
        <v>0</v>
      </c>
      <c r="K452" s="170">
        <f t="shared" si="80"/>
        <v>0</v>
      </c>
      <c r="L452" s="170">
        <f t="shared" si="80"/>
        <v>0</v>
      </c>
      <c r="M452" s="170">
        <f t="shared" si="80"/>
        <v>0</v>
      </c>
      <c r="N452" s="170">
        <f t="shared" si="80"/>
        <v>127.20589320578995</v>
      </c>
      <c r="O452" s="170">
        <f t="shared" si="80"/>
        <v>254.4117864115799</v>
      </c>
      <c r="P452" s="170">
        <f t="shared" si="80"/>
        <v>381.61767961736984</v>
      </c>
    </row>
    <row r="453" spans="3:16" hidden="1" outlineLevel="1" x14ac:dyDescent="0.25">
      <c r="C453" s="4" t="s">
        <v>443</v>
      </c>
      <c r="D453" s="6" t="s">
        <v>322</v>
      </c>
      <c r="E453" s="6" t="s">
        <v>56</v>
      </c>
      <c r="F453" s="67">
        <f t="shared" si="77"/>
        <v>9.7170966449971736</v>
      </c>
      <c r="H453" s="170">
        <f t="shared" si="80"/>
        <v>0</v>
      </c>
      <c r="I453" s="170">
        <f t="shared" si="80"/>
        <v>0</v>
      </c>
      <c r="J453" s="170">
        <f t="shared" si="80"/>
        <v>0</v>
      </c>
      <c r="K453" s="170">
        <f t="shared" si="80"/>
        <v>0</v>
      </c>
      <c r="L453" s="170">
        <f t="shared" si="80"/>
        <v>0</v>
      </c>
      <c r="M453" s="170">
        <f t="shared" si="80"/>
        <v>0</v>
      </c>
      <c r="N453" s="170">
        <f t="shared" si="80"/>
        <v>1.4722873704541171</v>
      </c>
      <c r="O453" s="170">
        <f t="shared" si="80"/>
        <v>3.2390322149990576</v>
      </c>
      <c r="P453" s="170">
        <f t="shared" si="80"/>
        <v>5.0057770595439983</v>
      </c>
    </row>
    <row r="454" spans="3:16" hidden="1" outlineLevel="1" x14ac:dyDescent="0.25">
      <c r="C454" s="4" t="s">
        <v>444</v>
      </c>
      <c r="D454" s="6" t="s">
        <v>322</v>
      </c>
      <c r="E454" s="6" t="s">
        <v>56</v>
      </c>
      <c r="F454" s="67">
        <f t="shared" si="77"/>
        <v>78.123915367231632</v>
      </c>
      <c r="H454" s="170">
        <f t="shared" si="80"/>
        <v>0</v>
      </c>
      <c r="I454" s="170">
        <f t="shared" si="80"/>
        <v>0</v>
      </c>
      <c r="J454" s="170">
        <f t="shared" si="80"/>
        <v>0</v>
      </c>
      <c r="K454" s="170">
        <f t="shared" si="80"/>
        <v>0</v>
      </c>
      <c r="L454" s="170">
        <f t="shared" si="80"/>
        <v>0</v>
      </c>
      <c r="M454" s="170">
        <f t="shared" si="80"/>
        <v>0</v>
      </c>
      <c r="N454" s="170">
        <f t="shared" si="80"/>
        <v>11.836956873822976</v>
      </c>
      <c r="O454" s="170">
        <f t="shared" si="80"/>
        <v>26.041305122410542</v>
      </c>
      <c r="P454" s="170">
        <f t="shared" si="80"/>
        <v>40.245653370998113</v>
      </c>
    </row>
    <row r="455" spans="3:16" hidden="1" outlineLevel="1" x14ac:dyDescent="0.25">
      <c r="C455" s="4" t="s">
        <v>445</v>
      </c>
      <c r="D455" s="6" t="s">
        <v>322</v>
      </c>
      <c r="E455" s="6" t="s">
        <v>56</v>
      </c>
      <c r="F455" s="67">
        <f t="shared" si="77"/>
        <v>29.983297131692101</v>
      </c>
      <c r="H455" s="170">
        <f t="shared" si="80"/>
        <v>0</v>
      </c>
      <c r="I455" s="170">
        <f t="shared" si="80"/>
        <v>0</v>
      </c>
      <c r="J455" s="170">
        <f t="shared" si="80"/>
        <v>0</v>
      </c>
      <c r="K455" s="170">
        <f t="shared" si="80"/>
        <v>0</v>
      </c>
      <c r="L455" s="170">
        <f t="shared" si="80"/>
        <v>0</v>
      </c>
      <c r="M455" s="170">
        <f t="shared" si="80"/>
        <v>0</v>
      </c>
      <c r="N455" s="170">
        <f t="shared" si="80"/>
        <v>0</v>
      </c>
      <c r="O455" s="170">
        <f t="shared" si="80"/>
        <v>9.7004784837827387</v>
      </c>
      <c r="P455" s="170">
        <f t="shared" si="80"/>
        <v>20.282818647909362</v>
      </c>
    </row>
    <row r="456" spans="3:16" hidden="1" outlineLevel="1" x14ac:dyDescent="0.25">
      <c r="C456" s="4" t="s">
        <v>446</v>
      </c>
      <c r="D456" s="6" t="s">
        <v>322</v>
      </c>
      <c r="E456" s="6" t="s">
        <v>56</v>
      </c>
      <c r="F456" s="67">
        <f t="shared" si="77"/>
        <v>5.743534624293785</v>
      </c>
      <c r="H456" s="170">
        <f t="shared" si="80"/>
        <v>0</v>
      </c>
      <c r="I456" s="170">
        <f t="shared" si="80"/>
        <v>0</v>
      </c>
      <c r="J456" s="170">
        <f t="shared" si="80"/>
        <v>0</v>
      </c>
      <c r="K456" s="170">
        <f t="shared" si="80"/>
        <v>0</v>
      </c>
      <c r="L456" s="170">
        <f t="shared" si="80"/>
        <v>0</v>
      </c>
      <c r="M456" s="170">
        <f t="shared" si="80"/>
        <v>0</v>
      </c>
      <c r="N456" s="170">
        <f t="shared" si="80"/>
        <v>0.87023251883239172</v>
      </c>
      <c r="O456" s="170">
        <f t="shared" si="80"/>
        <v>1.9145115414312617</v>
      </c>
      <c r="P456" s="170">
        <f t="shared" si="80"/>
        <v>2.9587905640301315</v>
      </c>
    </row>
    <row r="457" spans="3:16" hidden="1" outlineLevel="1" x14ac:dyDescent="0.25">
      <c r="C457" s="4" t="s">
        <v>447</v>
      </c>
      <c r="D457" s="6" t="s">
        <v>322</v>
      </c>
      <c r="E457" s="6" t="s">
        <v>56</v>
      </c>
      <c r="F457" s="67">
        <f t="shared" si="77"/>
        <v>198.9439962909604</v>
      </c>
      <c r="H457" s="170">
        <f t="shared" si="80"/>
        <v>0</v>
      </c>
      <c r="I457" s="170">
        <f t="shared" si="80"/>
        <v>0</v>
      </c>
      <c r="J457" s="170">
        <f t="shared" si="80"/>
        <v>0</v>
      </c>
      <c r="K457" s="170">
        <f t="shared" si="80"/>
        <v>0</v>
      </c>
      <c r="L457" s="170">
        <f t="shared" si="80"/>
        <v>0</v>
      </c>
      <c r="M457" s="170">
        <f t="shared" si="80"/>
        <v>0</v>
      </c>
      <c r="N457" s="170">
        <f t="shared" si="80"/>
        <v>30.143029741054608</v>
      </c>
      <c r="O457" s="170">
        <f t="shared" si="80"/>
        <v>66.314665430320133</v>
      </c>
      <c r="P457" s="170">
        <f t="shared" si="80"/>
        <v>102.48630111958566</v>
      </c>
    </row>
    <row r="458" spans="3:16" hidden="1" outlineLevel="1" x14ac:dyDescent="0.25">
      <c r="C458" s="4" t="s">
        <v>448</v>
      </c>
      <c r="D458" s="6" t="s">
        <v>322</v>
      </c>
      <c r="E458" s="6" t="s">
        <v>56</v>
      </c>
      <c r="F458" s="67">
        <f t="shared" si="77"/>
        <v>11.808580014124292</v>
      </c>
      <c r="H458" s="170">
        <f t="shared" si="80"/>
        <v>0</v>
      </c>
      <c r="I458" s="170">
        <f t="shared" si="80"/>
        <v>0</v>
      </c>
      <c r="J458" s="170">
        <f t="shared" si="80"/>
        <v>0</v>
      </c>
      <c r="K458" s="170">
        <f t="shared" si="80"/>
        <v>0</v>
      </c>
      <c r="L458" s="170">
        <f t="shared" si="80"/>
        <v>0</v>
      </c>
      <c r="M458" s="170">
        <f t="shared" si="80"/>
        <v>0</v>
      </c>
      <c r="N458" s="170">
        <f t="shared" si="80"/>
        <v>1.7891787900188321</v>
      </c>
      <c r="O458" s="170">
        <f t="shared" si="80"/>
        <v>3.9361933380414307</v>
      </c>
      <c r="P458" s="170">
        <f t="shared" si="80"/>
        <v>6.0832078860640291</v>
      </c>
    </row>
    <row r="459" spans="3:16" hidden="1" outlineLevel="1" x14ac:dyDescent="0.25">
      <c r="C459" s="4" t="s">
        <v>449</v>
      </c>
      <c r="D459" s="6" t="s">
        <v>322</v>
      </c>
      <c r="E459" s="6" t="s">
        <v>56</v>
      </c>
      <c r="F459" s="67">
        <f t="shared" ref="F459:F463" si="81">+SUM(H459:P459)</f>
        <v>95.054728036723162</v>
      </c>
      <c r="H459" s="170">
        <f t="shared" si="80"/>
        <v>0</v>
      </c>
      <c r="I459" s="170">
        <f t="shared" si="80"/>
        <v>0</v>
      </c>
      <c r="J459" s="170">
        <f t="shared" si="80"/>
        <v>0</v>
      </c>
      <c r="K459" s="170">
        <f t="shared" si="80"/>
        <v>0</v>
      </c>
      <c r="L459" s="170">
        <f t="shared" si="80"/>
        <v>0</v>
      </c>
      <c r="M459" s="170">
        <f t="shared" si="80"/>
        <v>0</v>
      </c>
      <c r="N459" s="170">
        <f t="shared" si="80"/>
        <v>14.402231520715631</v>
      </c>
      <c r="O459" s="170">
        <f t="shared" si="80"/>
        <v>31.684909345574386</v>
      </c>
      <c r="P459" s="170">
        <f t="shared" si="80"/>
        <v>48.967587170433141</v>
      </c>
    </row>
    <row r="460" spans="3:16" hidden="1" outlineLevel="1" x14ac:dyDescent="0.25">
      <c r="C460" s="4" t="s">
        <v>450</v>
      </c>
      <c r="D460" s="6" t="s">
        <v>322</v>
      </c>
      <c r="E460" s="6" t="s">
        <v>56</v>
      </c>
      <c r="F460" s="67">
        <f t="shared" si="81"/>
        <v>66.329750790960446</v>
      </c>
      <c r="H460" s="170">
        <f t="shared" si="80"/>
        <v>0</v>
      </c>
      <c r="I460" s="170">
        <f t="shared" si="80"/>
        <v>0</v>
      </c>
      <c r="J460" s="170">
        <f t="shared" si="80"/>
        <v>0</v>
      </c>
      <c r="K460" s="170">
        <f t="shared" si="80"/>
        <v>0</v>
      </c>
      <c r="L460" s="170">
        <f t="shared" si="80"/>
        <v>0</v>
      </c>
      <c r="M460" s="170">
        <f t="shared" si="80"/>
        <v>0</v>
      </c>
      <c r="N460" s="170">
        <f t="shared" si="80"/>
        <v>10.049962241054613</v>
      </c>
      <c r="O460" s="170">
        <f t="shared" si="80"/>
        <v>22.109916930320146</v>
      </c>
      <c r="P460" s="170">
        <f t="shared" si="80"/>
        <v>34.169871619585678</v>
      </c>
    </row>
    <row r="461" spans="3:16" hidden="1" outlineLevel="1" x14ac:dyDescent="0.25">
      <c r="C461" s="4" t="s">
        <v>370</v>
      </c>
      <c r="D461" s="6" t="s">
        <v>322</v>
      </c>
      <c r="E461" s="6" t="s">
        <v>56</v>
      </c>
      <c r="F461" s="67">
        <f t="shared" si="81"/>
        <v>119.98627028432732</v>
      </c>
      <c r="H461" s="170">
        <f t="shared" si="80"/>
        <v>0</v>
      </c>
      <c r="I461" s="170">
        <f t="shared" si="80"/>
        <v>0</v>
      </c>
      <c r="J461" s="170">
        <f t="shared" si="80"/>
        <v>0</v>
      </c>
      <c r="K461" s="170">
        <f t="shared" si="80"/>
        <v>0</v>
      </c>
      <c r="L461" s="170">
        <f t="shared" si="80"/>
        <v>0</v>
      </c>
      <c r="M461" s="170">
        <f t="shared" si="80"/>
        <v>0</v>
      </c>
      <c r="N461" s="170">
        <f t="shared" si="80"/>
        <v>7.9990846856218205</v>
      </c>
      <c r="O461" s="170">
        <f t="shared" si="80"/>
        <v>39.995423428109106</v>
      </c>
      <c r="P461" s="170">
        <f t="shared" si="80"/>
        <v>71.991762170596388</v>
      </c>
    </row>
    <row r="462" spans="3:16" hidden="1" outlineLevel="1" x14ac:dyDescent="0.25">
      <c r="C462" s="223" t="s">
        <v>464</v>
      </c>
      <c r="D462" s="254" t="s">
        <v>322</v>
      </c>
      <c r="E462" s="254" t="s">
        <v>56</v>
      </c>
      <c r="F462" s="255">
        <f t="shared" si="81"/>
        <v>246.92882921428568</v>
      </c>
      <c r="G462" s="223"/>
      <c r="H462" s="268">
        <f t="shared" si="80"/>
        <v>0</v>
      </c>
      <c r="I462" s="268">
        <f t="shared" si="80"/>
        <v>0</v>
      </c>
      <c r="J462" s="268">
        <f t="shared" si="80"/>
        <v>0</v>
      </c>
      <c r="K462" s="268">
        <f t="shared" si="80"/>
        <v>0</v>
      </c>
      <c r="L462" s="268">
        <f t="shared" si="80"/>
        <v>0</v>
      </c>
      <c r="M462" s="268">
        <f t="shared" si="80"/>
        <v>19.989824859126983</v>
      </c>
      <c r="N462" s="268">
        <f t="shared" si="80"/>
        <v>48.338317692460315</v>
      </c>
      <c r="O462" s="268">
        <f t="shared" si="80"/>
        <v>76.686810525793646</v>
      </c>
      <c r="P462" s="268">
        <f t="shared" si="80"/>
        <v>101.91387613690475</v>
      </c>
    </row>
    <row r="463" spans="3:16" hidden="1" outlineLevel="1" x14ac:dyDescent="0.25">
      <c r="C463" s="223" t="s">
        <v>465</v>
      </c>
      <c r="D463" s="254" t="s">
        <v>322</v>
      </c>
      <c r="E463" s="254" t="s">
        <v>56</v>
      </c>
      <c r="F463" s="255">
        <f t="shared" si="81"/>
        <v>151.01102485714284</v>
      </c>
      <c r="G463" s="223"/>
      <c r="H463" s="268">
        <f t="shared" si="80"/>
        <v>0</v>
      </c>
      <c r="I463" s="268">
        <f t="shared" si="80"/>
        <v>0</v>
      </c>
      <c r="J463" s="268">
        <f t="shared" si="80"/>
        <v>0</v>
      </c>
      <c r="K463" s="268">
        <f t="shared" si="80"/>
        <v>0</v>
      </c>
      <c r="L463" s="268">
        <f t="shared" si="80"/>
        <v>0</v>
      </c>
      <c r="M463" s="268">
        <f t="shared" si="80"/>
        <v>0</v>
      </c>
      <c r="N463" s="268">
        <f t="shared" si="80"/>
        <v>25.168504142857142</v>
      </c>
      <c r="O463" s="268">
        <f t="shared" si="80"/>
        <v>50.337008285714283</v>
      </c>
      <c r="P463" s="268">
        <f t="shared" si="80"/>
        <v>75.505512428571421</v>
      </c>
    </row>
    <row r="464" spans="3:16" collapsed="1" x14ac:dyDescent="0.25">
      <c r="D464" s="6"/>
      <c r="E464" s="6"/>
      <c r="F464" s="67"/>
      <c r="H464" s="8"/>
      <c r="I464" s="205"/>
      <c r="J464" s="205"/>
      <c r="K464" s="205"/>
      <c r="L464" s="205"/>
      <c r="M464" s="205"/>
      <c r="N464" s="260"/>
      <c r="O464" s="205"/>
      <c r="P464" s="205"/>
    </row>
    <row r="465" spans="2:16" ht="13" x14ac:dyDescent="0.3">
      <c r="B465" s="7" t="s">
        <v>374</v>
      </c>
      <c r="H465" s="8"/>
      <c r="I465" s="205"/>
      <c r="J465" s="205"/>
      <c r="K465" s="205"/>
      <c r="L465" s="205"/>
      <c r="M465" s="205"/>
      <c r="N465" s="205"/>
      <c r="O465" s="205"/>
      <c r="P465" s="205"/>
    </row>
    <row r="466" spans="2:16" ht="13" hidden="1" outlineLevel="1" x14ac:dyDescent="0.3">
      <c r="B466" s="7"/>
      <c r="C466" s="4" t="s">
        <v>375</v>
      </c>
      <c r="D466" s="6" t="s">
        <v>322</v>
      </c>
      <c r="E466" s="6" t="s">
        <v>56</v>
      </c>
      <c r="F466" s="67">
        <f t="shared" ref="F466:F518" si="82">+SUM(H466:P466)</f>
        <v>31999.975162666669</v>
      </c>
      <c r="H466" s="170">
        <f t="shared" ref="H466:P466" si="83">IF(-H123&gt;G635,0,
IF((+H295+G466+IF(H123&lt;0,H123,0))&lt;0,0,(+H295+G466+IF(H123&lt;0,H123,0))))</f>
        <v>0</v>
      </c>
      <c r="I466" s="170">
        <f t="shared" si="83"/>
        <v>0</v>
      </c>
      <c r="J466" s="170">
        <f t="shared" si="83"/>
        <v>597.66716000000008</v>
      </c>
      <c r="K466" s="170">
        <f t="shared" si="83"/>
        <v>1564.9676071111112</v>
      </c>
      <c r="L466" s="170">
        <f t="shared" si="83"/>
        <v>3032.4677644444446</v>
      </c>
      <c r="M466" s="170">
        <f t="shared" si="83"/>
        <v>4499.9679217777775</v>
      </c>
      <c r="N466" s="170">
        <f t="shared" si="83"/>
        <v>5967.4680791111114</v>
      </c>
      <c r="O466" s="170">
        <f t="shared" si="83"/>
        <v>7434.9682364444452</v>
      </c>
      <c r="P466" s="170">
        <f t="shared" si="83"/>
        <v>8902.4683937777791</v>
      </c>
    </row>
    <row r="467" spans="2:16" ht="13" hidden="1" outlineLevel="1" x14ac:dyDescent="0.3">
      <c r="B467" s="7"/>
      <c r="C467" s="4" t="s">
        <v>376</v>
      </c>
      <c r="D467" s="6" t="s">
        <v>322</v>
      </c>
      <c r="E467" s="6" t="s">
        <v>56</v>
      </c>
      <c r="F467" s="67">
        <f t="shared" si="82"/>
        <v>1296.800099</v>
      </c>
      <c r="H467" s="170">
        <f t="shared" ref="H467:P467" si="84">IF(-H124&gt;G636,0,
IF((+H296+G467+IF(H124&lt;0,H124,0))&lt;0,0,(+H296+G467+IF(H124&lt;0,H124,0))))</f>
        <v>0</v>
      </c>
      <c r="I467" s="170">
        <f t="shared" si="84"/>
        <v>0</v>
      </c>
      <c r="J467" s="170">
        <f t="shared" si="84"/>
        <v>40.273295000000012</v>
      </c>
      <c r="K467" s="170">
        <f t="shared" si="84"/>
        <v>88.601249000000024</v>
      </c>
      <c r="L467" s="170">
        <f t="shared" si="84"/>
        <v>136.92920300000003</v>
      </c>
      <c r="M467" s="170">
        <f t="shared" si="84"/>
        <v>185.25715700000003</v>
      </c>
      <c r="N467" s="170">
        <f t="shared" si="84"/>
        <v>233.58511100000004</v>
      </c>
      <c r="O467" s="170">
        <f t="shared" si="84"/>
        <v>281.91306500000007</v>
      </c>
      <c r="P467" s="170">
        <f t="shared" si="84"/>
        <v>330.24101900000005</v>
      </c>
    </row>
    <row r="468" spans="2:16" ht="13" hidden="1" outlineLevel="1" x14ac:dyDescent="0.3">
      <c r="B468" s="7"/>
      <c r="C468" s="4" t="s">
        <v>377</v>
      </c>
      <c r="D468" s="6" t="s">
        <v>322</v>
      </c>
      <c r="E468" s="6" t="s">
        <v>56</v>
      </c>
      <c r="F468" s="67">
        <f t="shared" si="82"/>
        <v>7346.0846065833348</v>
      </c>
      <c r="H468" s="170">
        <f t="shared" ref="H468:P468" si="85">IF(-H125&gt;G637,0,
IF((+H297+G468+IF(H125&lt;0,H125,0))&lt;0,0,(+H297+G468+IF(H125&lt;0,H125,0))))</f>
        <v>0</v>
      </c>
      <c r="I468" s="170">
        <f t="shared" si="85"/>
        <v>0</v>
      </c>
      <c r="J468" s="170">
        <f t="shared" si="85"/>
        <v>188.09900608333334</v>
      </c>
      <c r="K468" s="170">
        <f t="shared" si="85"/>
        <v>475.21289008333338</v>
      </c>
      <c r="L468" s="170">
        <f t="shared" si="85"/>
        <v>762.32677408333348</v>
      </c>
      <c r="M468" s="170">
        <f t="shared" si="85"/>
        <v>1049.4406580833336</v>
      </c>
      <c r="N468" s="170">
        <f t="shared" si="85"/>
        <v>1336.5545420833337</v>
      </c>
      <c r="O468" s="170">
        <f t="shared" si="85"/>
        <v>1623.6684260833338</v>
      </c>
      <c r="P468" s="170">
        <f t="shared" si="85"/>
        <v>1910.7823100833339</v>
      </c>
    </row>
    <row r="469" spans="2:16" ht="13" hidden="1" outlineLevel="1" x14ac:dyDescent="0.3">
      <c r="B469" s="7"/>
      <c r="C469" s="4" t="s">
        <v>378</v>
      </c>
      <c r="D469" s="6" t="s">
        <v>322</v>
      </c>
      <c r="E469" s="6" t="s">
        <v>56</v>
      </c>
      <c r="F469" s="67">
        <f t="shared" si="82"/>
        <v>1044.9346628571429</v>
      </c>
      <c r="H469" s="170">
        <f t="shared" ref="H469:P469" si="86">IF(-H126&gt;G638,0,
IF((+H298+G469+IF(H126&lt;0,H126,0))&lt;0,0,(+H298+G469+IF(H126&lt;0,H126,0))))</f>
        <v>0</v>
      </c>
      <c r="I469" s="170">
        <f t="shared" si="86"/>
        <v>0</v>
      </c>
      <c r="J469" s="170">
        <f t="shared" si="86"/>
        <v>0</v>
      </c>
      <c r="K469" s="170">
        <f t="shared" si="86"/>
        <v>29.025962857142858</v>
      </c>
      <c r="L469" s="170">
        <f t="shared" si="86"/>
        <v>87.077888571428574</v>
      </c>
      <c r="M469" s="170">
        <f t="shared" si="86"/>
        <v>145.1298142857143</v>
      </c>
      <c r="N469" s="170">
        <f t="shared" si="86"/>
        <v>203.18174000000002</v>
      </c>
      <c r="O469" s="170">
        <f t="shared" si="86"/>
        <v>261.23366571428573</v>
      </c>
      <c r="P469" s="170">
        <f t="shared" si="86"/>
        <v>319.28559142857148</v>
      </c>
    </row>
    <row r="470" spans="2:16" ht="13" hidden="1" outlineLevel="1" x14ac:dyDescent="0.3">
      <c r="B470" s="7"/>
      <c r="C470" s="4" t="s">
        <v>379</v>
      </c>
      <c r="D470" s="6" t="s">
        <v>322</v>
      </c>
      <c r="E470" s="6" t="s">
        <v>56</v>
      </c>
      <c r="F470" s="67">
        <f t="shared" si="82"/>
        <v>126.41947500000001</v>
      </c>
      <c r="H470" s="170">
        <f t="shared" ref="H470:P470" si="87">IF(-H127&gt;G639,0,
IF((+H299+G470+IF(H127&lt;0,H127,0))&lt;0,0,(+H299+G470+IF(H127&lt;0,H127,0))))</f>
        <v>0</v>
      </c>
      <c r="I470" s="170">
        <f t="shared" si="87"/>
        <v>0</v>
      </c>
      <c r="J470" s="170">
        <f t="shared" si="87"/>
        <v>0</v>
      </c>
      <c r="K470" s="170">
        <f t="shared" si="87"/>
        <v>1.9449150000000002</v>
      </c>
      <c r="L470" s="170">
        <f t="shared" si="87"/>
        <v>9.7245750000000015</v>
      </c>
      <c r="M470" s="170">
        <f t="shared" si="87"/>
        <v>17.504235000000001</v>
      </c>
      <c r="N470" s="170">
        <f t="shared" si="87"/>
        <v>25.283895000000001</v>
      </c>
      <c r="O470" s="170">
        <f t="shared" si="87"/>
        <v>33.063555000000001</v>
      </c>
      <c r="P470" s="170">
        <f t="shared" si="87"/>
        <v>38.898300000000006</v>
      </c>
    </row>
    <row r="471" spans="2:16" ht="13" hidden="1" outlineLevel="1" x14ac:dyDescent="0.3">
      <c r="B471" s="7"/>
      <c r="C471" s="4" t="s">
        <v>380</v>
      </c>
      <c r="D471" s="6" t="s">
        <v>322</v>
      </c>
      <c r="E471" s="6" t="s">
        <v>56</v>
      </c>
      <c r="F471" s="67">
        <f t="shared" si="82"/>
        <v>155.33895000000001</v>
      </c>
      <c r="H471" s="170">
        <f t="shared" ref="H471:P471" si="88">IF(-H128&gt;G640,0,
IF((+H300+G471+IF(H128&lt;0,H128,0))&lt;0,0,(+H300+G471+IF(H128&lt;0,H128,0))))</f>
        <v>0</v>
      </c>
      <c r="I471" s="170">
        <f t="shared" si="88"/>
        <v>0</v>
      </c>
      <c r="J471" s="170">
        <f t="shared" si="88"/>
        <v>0</v>
      </c>
      <c r="K471" s="170">
        <f t="shared" si="88"/>
        <v>2.3898299999999999</v>
      </c>
      <c r="L471" s="170">
        <f t="shared" si="88"/>
        <v>11.949149999999999</v>
      </c>
      <c r="M471" s="170">
        <f t="shared" si="88"/>
        <v>21.508469999999999</v>
      </c>
      <c r="N471" s="170">
        <f t="shared" si="88"/>
        <v>31.067789999999999</v>
      </c>
      <c r="O471" s="170">
        <f t="shared" si="88"/>
        <v>40.627110000000002</v>
      </c>
      <c r="P471" s="170">
        <f t="shared" si="88"/>
        <v>47.796599999999998</v>
      </c>
    </row>
    <row r="472" spans="2:16" ht="13" hidden="1" outlineLevel="1" x14ac:dyDescent="0.3">
      <c r="B472" s="7"/>
      <c r="C472" s="4" t="s">
        <v>381</v>
      </c>
      <c r="D472" s="6" t="s">
        <v>322</v>
      </c>
      <c r="E472" s="6" t="s">
        <v>56</v>
      </c>
      <c r="F472" s="67">
        <f t="shared" si="82"/>
        <v>323.37664071428571</v>
      </c>
      <c r="H472" s="170">
        <f t="shared" ref="H472:P472" si="89">IF(-H129&gt;G641,0,
IF((+H301+G472+IF(H129&lt;0,H129,0))&lt;0,0,(+H301+G472+IF(H129&lt;0,H129,0))))</f>
        <v>0</v>
      </c>
      <c r="I472" s="170">
        <f t="shared" si="89"/>
        <v>0</v>
      </c>
      <c r="J472" s="170">
        <f t="shared" si="89"/>
        <v>0</v>
      </c>
      <c r="K472" s="170">
        <f t="shared" si="89"/>
        <v>4.8996460714285712</v>
      </c>
      <c r="L472" s="170">
        <f t="shared" si="89"/>
        <v>24.498230357142855</v>
      </c>
      <c r="M472" s="170">
        <f t="shared" si="89"/>
        <v>44.09681464285714</v>
      </c>
      <c r="N472" s="170">
        <f t="shared" si="89"/>
        <v>63.695398928571421</v>
      </c>
      <c r="O472" s="170">
        <f t="shared" si="89"/>
        <v>83.293983214285703</v>
      </c>
      <c r="P472" s="170">
        <f t="shared" si="89"/>
        <v>102.89256749999998</v>
      </c>
    </row>
    <row r="473" spans="2:16" ht="13" hidden="1" outlineLevel="1" x14ac:dyDescent="0.3">
      <c r="B473" s="7"/>
      <c r="C473" s="4" t="s">
        <v>382</v>
      </c>
      <c r="D473" s="6" t="s">
        <v>322</v>
      </c>
      <c r="E473" s="6" t="s">
        <v>56</v>
      </c>
      <c r="F473" s="67">
        <f t="shared" si="82"/>
        <v>203.04190499999993</v>
      </c>
      <c r="H473" s="170">
        <f t="shared" ref="H473:P473" si="90">IF(-H130&gt;G642,0,
IF((+H302+G473+IF(H130&lt;0,H130,0))&lt;0,0,(+H302+G473+IF(H130&lt;0,H130,0))))</f>
        <v>0</v>
      </c>
      <c r="I473" s="170">
        <f t="shared" si="90"/>
        <v>0</v>
      </c>
      <c r="J473" s="170">
        <f t="shared" si="90"/>
        <v>0</v>
      </c>
      <c r="K473" s="170">
        <f t="shared" si="90"/>
        <v>3.076392499999999</v>
      </c>
      <c r="L473" s="170">
        <f t="shared" si="90"/>
        <v>15.381962499999995</v>
      </c>
      <c r="M473" s="170">
        <f t="shared" si="90"/>
        <v>27.687532499999989</v>
      </c>
      <c r="N473" s="170">
        <f t="shared" si="90"/>
        <v>39.993102499999985</v>
      </c>
      <c r="O473" s="170">
        <f t="shared" si="90"/>
        <v>52.298672499999981</v>
      </c>
      <c r="P473" s="170">
        <f t="shared" si="90"/>
        <v>64.60424249999997</v>
      </c>
    </row>
    <row r="474" spans="2:16" ht="13" hidden="1" outlineLevel="1" x14ac:dyDescent="0.3">
      <c r="B474" s="7"/>
      <c r="C474" s="4" t="s">
        <v>383</v>
      </c>
      <c r="D474" s="6" t="s">
        <v>322</v>
      </c>
      <c r="E474" s="6" t="s">
        <v>56</v>
      </c>
      <c r="F474" s="67">
        <f t="shared" si="82"/>
        <v>63.003167500000004</v>
      </c>
      <c r="H474" s="170">
        <f t="shared" ref="H474:P474" si="91">IF(-H131&gt;G643,0,
IF((+H303+G474+IF(H131&lt;0,H131,0))&lt;0,0,(+H303+G474+IF(H131&lt;0,H131,0))))</f>
        <v>0</v>
      </c>
      <c r="I474" s="170">
        <f t="shared" si="91"/>
        <v>0</v>
      </c>
      <c r="J474" s="170">
        <f t="shared" si="91"/>
        <v>0</v>
      </c>
      <c r="K474" s="170">
        <f t="shared" si="91"/>
        <v>0.96927950000000007</v>
      </c>
      <c r="L474" s="170">
        <f t="shared" si="91"/>
        <v>4.8463975000000001</v>
      </c>
      <c r="M474" s="170">
        <f t="shared" si="91"/>
        <v>8.7235155000000013</v>
      </c>
      <c r="N474" s="170">
        <f t="shared" si="91"/>
        <v>12.600633500000001</v>
      </c>
      <c r="O474" s="170">
        <f t="shared" si="91"/>
        <v>16.4777515</v>
      </c>
      <c r="P474" s="170">
        <f t="shared" si="91"/>
        <v>19.385589999999997</v>
      </c>
    </row>
    <row r="475" spans="2:16" ht="13" hidden="1" outlineLevel="1" x14ac:dyDescent="0.3">
      <c r="B475" s="7"/>
      <c r="C475" s="4" t="s">
        <v>384</v>
      </c>
      <c r="D475" s="6" t="s">
        <v>322</v>
      </c>
      <c r="E475" s="6" t="s">
        <v>56</v>
      </c>
      <c r="F475" s="67">
        <f t="shared" si="82"/>
        <v>622.14346999999998</v>
      </c>
      <c r="H475" s="170">
        <f t="shared" ref="H475:P475" si="92">IF(-H132&gt;G644,0,
IF((+H304+G475+IF(H132&lt;0,H132,0))&lt;0,0,(+H304+G475+IF(H132&lt;0,H132,0))))</f>
        <v>0</v>
      </c>
      <c r="I475" s="170">
        <f t="shared" si="92"/>
        <v>0</v>
      </c>
      <c r="J475" s="170">
        <f t="shared" si="92"/>
        <v>0</v>
      </c>
      <c r="K475" s="170">
        <f t="shared" si="92"/>
        <v>9.5714380000000006</v>
      </c>
      <c r="L475" s="170">
        <f t="shared" si="92"/>
        <v>47.857190000000003</v>
      </c>
      <c r="M475" s="170">
        <f t="shared" si="92"/>
        <v>86.142942000000005</v>
      </c>
      <c r="N475" s="170">
        <f t="shared" si="92"/>
        <v>124.42869400000001</v>
      </c>
      <c r="O475" s="170">
        <f t="shared" si="92"/>
        <v>162.71444600000001</v>
      </c>
      <c r="P475" s="170">
        <f t="shared" si="92"/>
        <v>191.42875999999998</v>
      </c>
    </row>
    <row r="476" spans="2:16" ht="13" hidden="1" outlineLevel="1" x14ac:dyDescent="0.3">
      <c r="B476" s="7"/>
      <c r="C476" s="4" t="s">
        <v>348</v>
      </c>
      <c r="D476" s="6" t="s">
        <v>322</v>
      </c>
      <c r="E476" s="6" t="s">
        <v>56</v>
      </c>
      <c r="F476" s="67">
        <f t="shared" si="82"/>
        <v>4252.1934985714288</v>
      </c>
      <c r="H476" s="170">
        <f t="shared" ref="H476:P476" si="93">IF(-H133&gt;G645,0,
IF((+H305+G476+IF(H133&lt;0,H133,0))&lt;0,0,(+H305+G476+IF(H133&lt;0,H133,0))))</f>
        <v>0</v>
      </c>
      <c r="I476" s="170">
        <f t="shared" si="93"/>
        <v>0</v>
      </c>
      <c r="J476" s="170">
        <f t="shared" si="93"/>
        <v>0</v>
      </c>
      <c r="K476" s="170">
        <f t="shared" si="93"/>
        <v>52.164373571428563</v>
      </c>
      <c r="L476" s="170">
        <f t="shared" si="93"/>
        <v>288.73031071428568</v>
      </c>
      <c r="M476" s="170">
        <f t="shared" si="93"/>
        <v>564.36806785714282</v>
      </c>
      <c r="N476" s="170">
        <f t="shared" si="93"/>
        <v>840.00582499999996</v>
      </c>
      <c r="O476" s="170">
        <f t="shared" si="93"/>
        <v>1115.6435821428572</v>
      </c>
      <c r="P476" s="170">
        <f t="shared" si="93"/>
        <v>1391.2813392857142</v>
      </c>
    </row>
    <row r="477" spans="2:16" ht="13" hidden="1" outlineLevel="1" x14ac:dyDescent="0.3">
      <c r="B477" s="7"/>
      <c r="C477" s="4" t="s">
        <v>385</v>
      </c>
      <c r="D477" s="6" t="s">
        <v>322</v>
      </c>
      <c r="E477" s="6" t="s">
        <v>56</v>
      </c>
      <c r="F477" s="67">
        <f t="shared" si="82"/>
        <v>1517.6137214285714</v>
      </c>
      <c r="H477" s="170">
        <f t="shared" ref="H477:P477" si="94">IF(-H134&gt;G646,0,
IF((+H306+G477+IF(H134&lt;0,H134,0))&lt;0,0,(+H306+G477+IF(H134&lt;0,H134,0))))</f>
        <v>0</v>
      </c>
      <c r="I477" s="170">
        <f t="shared" si="94"/>
        <v>0</v>
      </c>
      <c r="J477" s="170">
        <f t="shared" si="94"/>
        <v>0</v>
      </c>
      <c r="K477" s="170">
        <f t="shared" si="94"/>
        <v>20.807157142857143</v>
      </c>
      <c r="L477" s="170">
        <f t="shared" si="94"/>
        <v>108.15982428571428</v>
      </c>
      <c r="M477" s="170">
        <f t="shared" si="94"/>
        <v>203.76056857142856</v>
      </c>
      <c r="N477" s="170">
        <f t="shared" si="94"/>
        <v>299.36131285714282</v>
      </c>
      <c r="O477" s="170">
        <f t="shared" si="94"/>
        <v>394.96205714285708</v>
      </c>
      <c r="P477" s="170">
        <f t="shared" si="94"/>
        <v>490.56280142857133</v>
      </c>
    </row>
    <row r="478" spans="2:16" ht="13" hidden="1" outlineLevel="1" x14ac:dyDescent="0.3">
      <c r="B478" s="7"/>
      <c r="C478" s="4" t="s">
        <v>386</v>
      </c>
      <c r="D478" s="6" t="s">
        <v>322</v>
      </c>
      <c r="E478" s="6" t="s">
        <v>56</v>
      </c>
      <c r="F478" s="67">
        <f t="shared" si="82"/>
        <v>21117.350333749997</v>
      </c>
      <c r="H478" s="170">
        <f t="shared" ref="H478:P478" si="95">IF(-H135&gt;G647,0,
IF((+H307+G478+IF(H135&lt;0,H135,0))&lt;0,0,(+H307+G478+IF(H135&lt;0,H135,0))))</f>
        <v>0</v>
      </c>
      <c r="I478" s="170">
        <f t="shared" si="95"/>
        <v>0</v>
      </c>
      <c r="J478" s="170">
        <f t="shared" si="95"/>
        <v>0</v>
      </c>
      <c r="K478" s="170">
        <f t="shared" si="95"/>
        <v>0</v>
      </c>
      <c r="L478" s="170">
        <f t="shared" si="95"/>
        <v>1069.34366875</v>
      </c>
      <c r="M478" s="170">
        <f t="shared" si="95"/>
        <v>2304.9436997499997</v>
      </c>
      <c r="N478" s="170">
        <f t="shared" si="95"/>
        <v>4109.6490107499994</v>
      </c>
      <c r="O478" s="170">
        <f t="shared" si="95"/>
        <v>5914.3543217499991</v>
      </c>
      <c r="P478" s="170">
        <f t="shared" si="95"/>
        <v>7719.0596327499989</v>
      </c>
    </row>
    <row r="479" spans="2:16" ht="13" hidden="1" outlineLevel="1" x14ac:dyDescent="0.3">
      <c r="B479" s="7"/>
      <c r="C479" s="4" t="s">
        <v>387</v>
      </c>
      <c r="D479" s="6" t="s">
        <v>322</v>
      </c>
      <c r="E479" s="6" t="s">
        <v>56</v>
      </c>
      <c r="F479" s="67">
        <f t="shared" si="82"/>
        <v>1541.7394714285715</v>
      </c>
      <c r="H479" s="170">
        <f t="shared" ref="H479:P479" si="96">IF(-H136&gt;G648,0,
IF((+H308+G479+IF(H136&lt;0,H136,0))&lt;0,0,(+H308+G479+IF(H136&lt;0,H136,0))))</f>
        <v>0</v>
      </c>
      <c r="I479" s="170">
        <f t="shared" si="96"/>
        <v>0</v>
      </c>
      <c r="J479" s="170">
        <f t="shared" si="96"/>
        <v>0</v>
      </c>
      <c r="K479" s="170">
        <f t="shared" si="96"/>
        <v>0</v>
      </c>
      <c r="L479" s="170">
        <f t="shared" si="96"/>
        <v>72.95859999999999</v>
      </c>
      <c r="M479" s="170">
        <f t="shared" si="96"/>
        <v>182.49945714285712</v>
      </c>
      <c r="N479" s="170">
        <f t="shared" si="96"/>
        <v>305.62996428571427</v>
      </c>
      <c r="O479" s="170">
        <f t="shared" si="96"/>
        <v>428.76047142857141</v>
      </c>
      <c r="P479" s="170">
        <f t="shared" si="96"/>
        <v>551.89097857142849</v>
      </c>
    </row>
    <row r="480" spans="2:16" ht="13" hidden="1" outlineLevel="1" x14ac:dyDescent="0.3">
      <c r="B480" s="7"/>
      <c r="C480" s="4" t="s">
        <v>388</v>
      </c>
      <c r="D480" s="6" t="s">
        <v>322</v>
      </c>
      <c r="E480" s="6" t="s">
        <v>56</v>
      </c>
      <c r="F480" s="67">
        <f t="shared" si="82"/>
        <v>15525.309525000001</v>
      </c>
      <c r="H480" s="170">
        <f t="shared" ref="H480:P480" si="97">IF(-H137&gt;G649,0,
IF((+H309+G480+IF(H137&lt;0,H137,0))&lt;0,0,(+H309+G480+IF(H137&lt;0,H137,0))))</f>
        <v>0</v>
      </c>
      <c r="I480" s="170">
        <f t="shared" si="97"/>
        <v>0</v>
      </c>
      <c r="J480" s="170">
        <f t="shared" si="97"/>
        <v>0</v>
      </c>
      <c r="K480" s="170">
        <f t="shared" si="97"/>
        <v>0</v>
      </c>
      <c r="L480" s="170">
        <f t="shared" si="97"/>
        <v>766.37770766666665</v>
      </c>
      <c r="M480" s="170">
        <f t="shared" si="97"/>
        <v>1750.0006183333333</v>
      </c>
      <c r="N480" s="170">
        <f t="shared" si="97"/>
        <v>3043.1555089999997</v>
      </c>
      <c r="O480" s="170">
        <f t="shared" si="97"/>
        <v>4336.3103996666659</v>
      </c>
      <c r="P480" s="170">
        <f t="shared" si="97"/>
        <v>5629.4652903333326</v>
      </c>
    </row>
    <row r="481" spans="2:16" ht="13" hidden="1" outlineLevel="1" x14ac:dyDescent="0.3">
      <c r="B481" s="7"/>
      <c r="C481" s="4" t="s">
        <v>389</v>
      </c>
      <c r="D481" s="6" t="s">
        <v>322</v>
      </c>
      <c r="E481" s="6" t="s">
        <v>56</v>
      </c>
      <c r="F481" s="67">
        <f t="shared" si="82"/>
        <v>1226.532858333333</v>
      </c>
      <c r="H481" s="170">
        <f t="shared" ref="H481:P481" si="98">IF(-H138&gt;G650,0,
IF((+H310+G481+IF(H138&lt;0,H138,0))&lt;0,0,(+H310+G481+IF(H138&lt;0,H138,0))))</f>
        <v>0</v>
      </c>
      <c r="I481" s="170">
        <f t="shared" si="98"/>
        <v>0</v>
      </c>
      <c r="J481" s="170">
        <f t="shared" si="98"/>
        <v>0</v>
      </c>
      <c r="K481" s="170">
        <f t="shared" si="98"/>
        <v>0</v>
      </c>
      <c r="L481" s="170">
        <f t="shared" si="98"/>
        <v>58.932871666666657</v>
      </c>
      <c r="M481" s="170">
        <f t="shared" si="98"/>
        <v>142.71060566666662</v>
      </c>
      <c r="N481" s="170">
        <f t="shared" si="98"/>
        <v>242.1701996666666</v>
      </c>
      <c r="O481" s="170">
        <f t="shared" si="98"/>
        <v>341.62979366666661</v>
      </c>
      <c r="P481" s="170">
        <f t="shared" si="98"/>
        <v>441.0893876666666</v>
      </c>
    </row>
    <row r="482" spans="2:16" ht="13" hidden="1" outlineLevel="1" x14ac:dyDescent="0.3">
      <c r="B482" s="7"/>
      <c r="C482" s="4" t="s">
        <v>349</v>
      </c>
      <c r="D482" s="6" t="s">
        <v>322</v>
      </c>
      <c r="E482" s="6" t="s">
        <v>56</v>
      </c>
      <c r="F482" s="67">
        <f t="shared" si="82"/>
        <v>2750.9205428571427</v>
      </c>
      <c r="H482" s="170">
        <f t="shared" ref="H482:P482" si="99">IF(-H139&gt;G651,0,
IF((+H311+G482+IF(H139&lt;0,H139,0))&lt;0,0,(+H311+G482+IF(H139&lt;0,H139,0))))</f>
        <v>0</v>
      </c>
      <c r="I482" s="170">
        <f t="shared" si="99"/>
        <v>0</v>
      </c>
      <c r="J482" s="170">
        <f t="shared" si="99"/>
        <v>0</v>
      </c>
      <c r="K482" s="170">
        <f t="shared" si="99"/>
        <v>41.680614285714285</v>
      </c>
      <c r="L482" s="170">
        <f t="shared" si="99"/>
        <v>208.40307142857142</v>
      </c>
      <c r="M482" s="170">
        <f t="shared" si="99"/>
        <v>375.12552857142856</v>
      </c>
      <c r="N482" s="170">
        <f t="shared" si="99"/>
        <v>541.84798571428564</v>
      </c>
      <c r="O482" s="170">
        <f t="shared" si="99"/>
        <v>708.57044285714278</v>
      </c>
      <c r="P482" s="170">
        <f t="shared" si="99"/>
        <v>875.29289999999992</v>
      </c>
    </row>
    <row r="483" spans="2:16" ht="13" hidden="1" outlineLevel="1" x14ac:dyDescent="0.3">
      <c r="B483" s="7"/>
      <c r="C483" s="4" t="s">
        <v>390</v>
      </c>
      <c r="D483" s="6" t="s">
        <v>322</v>
      </c>
      <c r="E483" s="6" t="s">
        <v>56</v>
      </c>
      <c r="F483" s="67">
        <f t="shared" si="82"/>
        <v>3958.8726861111127</v>
      </c>
      <c r="H483" s="170">
        <f t="shared" ref="H483:P483" si="100">IF(-H140&gt;G652,0,
IF((+H312+G483+IF(H140&lt;0,H140,0))&lt;0,0,(+H312+G483+IF(H140&lt;0,H140,0))))</f>
        <v>0</v>
      </c>
      <c r="I483" s="170">
        <f t="shared" si="100"/>
        <v>0</v>
      </c>
      <c r="J483" s="170">
        <f t="shared" si="100"/>
        <v>0</v>
      </c>
      <c r="K483" s="170">
        <f t="shared" si="100"/>
        <v>0</v>
      </c>
      <c r="L483" s="170">
        <f t="shared" si="100"/>
        <v>62.25163633333333</v>
      </c>
      <c r="M483" s="170">
        <f t="shared" si="100"/>
        <v>415.74564944444484</v>
      </c>
      <c r="N483" s="170">
        <f t="shared" si="100"/>
        <v>788.01872477777817</v>
      </c>
      <c r="O483" s="170">
        <f t="shared" si="100"/>
        <v>1160.2918001111116</v>
      </c>
      <c r="P483" s="170">
        <f t="shared" si="100"/>
        <v>1532.5648754444449</v>
      </c>
    </row>
    <row r="484" spans="2:16" ht="13" hidden="1" outlineLevel="1" x14ac:dyDescent="0.3">
      <c r="B484" s="7"/>
      <c r="C484" s="4" t="s">
        <v>391</v>
      </c>
      <c r="D484" s="6" t="s">
        <v>322</v>
      </c>
      <c r="E484" s="6" t="s">
        <v>56</v>
      </c>
      <c r="F484" s="67">
        <f t="shared" si="82"/>
        <v>186.34667142857143</v>
      </c>
      <c r="H484" s="170">
        <f t="shared" ref="H484:P484" si="101">IF(-H141&gt;G653,0,
IF((+H313+G484+IF(H141&lt;0,H141,0))&lt;0,0,(+H313+G484+IF(H141&lt;0,H141,0))))</f>
        <v>0</v>
      </c>
      <c r="I484" s="170">
        <f t="shared" si="101"/>
        <v>0</v>
      </c>
      <c r="J484" s="170">
        <f t="shared" si="101"/>
        <v>0</v>
      </c>
      <c r="K484" s="170">
        <f t="shared" si="101"/>
        <v>0</v>
      </c>
      <c r="L484" s="170">
        <f t="shared" si="101"/>
        <v>0</v>
      </c>
      <c r="M484" s="170">
        <f t="shared" si="101"/>
        <v>0</v>
      </c>
      <c r="N484" s="170">
        <f t="shared" si="101"/>
        <v>31.057778571428571</v>
      </c>
      <c r="O484" s="170">
        <f t="shared" si="101"/>
        <v>62.115557142857142</v>
      </c>
      <c r="P484" s="170">
        <f t="shared" si="101"/>
        <v>93.173335714285713</v>
      </c>
    </row>
    <row r="485" spans="2:16" ht="13" hidden="1" outlineLevel="1" x14ac:dyDescent="0.3">
      <c r="B485" s="7"/>
      <c r="C485" s="4" t="s">
        <v>392</v>
      </c>
      <c r="D485" s="6" t="s">
        <v>322</v>
      </c>
      <c r="E485" s="6" t="s">
        <v>56</v>
      </c>
      <c r="F485" s="67">
        <f t="shared" si="82"/>
        <v>5576.7327902222223</v>
      </c>
      <c r="H485" s="170">
        <f t="shared" ref="H485:P485" si="102">IF(-H142&gt;G654,0,
IF((+H314+G485+IF(H142&lt;0,H142,0))&lt;0,0,(+H314+G485+IF(H142&lt;0,H142,0))))</f>
        <v>0</v>
      </c>
      <c r="I485" s="170">
        <f t="shared" si="102"/>
        <v>0</v>
      </c>
      <c r="J485" s="170">
        <f t="shared" si="102"/>
        <v>0</v>
      </c>
      <c r="K485" s="170">
        <f t="shared" si="102"/>
        <v>0</v>
      </c>
      <c r="L485" s="170">
        <f t="shared" si="102"/>
        <v>0</v>
      </c>
      <c r="M485" s="170">
        <f t="shared" si="102"/>
        <v>497.92257055555558</v>
      </c>
      <c r="N485" s="170">
        <f t="shared" si="102"/>
        <v>1095.4296552222222</v>
      </c>
      <c r="O485" s="170">
        <f t="shared" si="102"/>
        <v>1692.936739888889</v>
      </c>
      <c r="P485" s="170">
        <f t="shared" si="102"/>
        <v>2290.4438245555557</v>
      </c>
    </row>
    <row r="486" spans="2:16" ht="13" hidden="1" outlineLevel="1" x14ac:dyDescent="0.3">
      <c r="B486" s="7"/>
      <c r="C486" s="4" t="s">
        <v>393</v>
      </c>
      <c r="D486" s="6" t="s">
        <v>322</v>
      </c>
      <c r="E486" s="6" t="s">
        <v>56</v>
      </c>
      <c r="F486" s="67">
        <f t="shared" si="82"/>
        <v>73.274333333333331</v>
      </c>
      <c r="H486" s="170">
        <f t="shared" ref="H486:P486" si="103">IF(-H143&gt;G655,0,
IF((+H315+G486+IF(H143&lt;0,H143,0))&lt;0,0,(+H315+G486+IF(H143&lt;0,H143,0))))</f>
        <v>0</v>
      </c>
      <c r="I486" s="170">
        <f t="shared" si="103"/>
        <v>0</v>
      </c>
      <c r="J486" s="170">
        <f t="shared" si="103"/>
        <v>0</v>
      </c>
      <c r="K486" s="170">
        <f t="shared" si="103"/>
        <v>0</v>
      </c>
      <c r="L486" s="170">
        <f t="shared" si="103"/>
        <v>2.0935523809523806</v>
      </c>
      <c r="M486" s="170">
        <f t="shared" si="103"/>
        <v>8.3742095238095224</v>
      </c>
      <c r="N486" s="170">
        <f t="shared" si="103"/>
        <v>14.654866666666665</v>
      </c>
      <c r="O486" s="170">
        <f t="shared" si="103"/>
        <v>20.935523809523808</v>
      </c>
      <c r="P486" s="170">
        <f t="shared" si="103"/>
        <v>27.216180952380952</v>
      </c>
    </row>
    <row r="487" spans="2:16" ht="13" hidden="1" outlineLevel="1" x14ac:dyDescent="0.3">
      <c r="B487" s="7"/>
      <c r="C487" s="4" t="s">
        <v>394</v>
      </c>
      <c r="D487" s="6" t="s">
        <v>322</v>
      </c>
      <c r="E487" s="6" t="s">
        <v>56</v>
      </c>
      <c r="F487" s="67">
        <f t="shared" si="82"/>
        <v>371.12407500000006</v>
      </c>
      <c r="H487" s="170">
        <f t="shared" ref="H487:P487" si="104">IF(-H144&gt;G656,0,
IF((+H316+G487+IF(H144&lt;0,H144,0))&lt;0,0,(+H316+G487+IF(H144&lt;0,H144,0))))</f>
        <v>0</v>
      </c>
      <c r="I487" s="170">
        <f t="shared" si="104"/>
        <v>0</v>
      </c>
      <c r="J487" s="170">
        <f t="shared" si="104"/>
        <v>0</v>
      </c>
      <c r="K487" s="170">
        <f t="shared" si="104"/>
        <v>0</v>
      </c>
      <c r="L487" s="170">
        <f t="shared" si="104"/>
        <v>17.672575000000002</v>
      </c>
      <c r="M487" s="170">
        <f t="shared" si="104"/>
        <v>53.017725000000006</v>
      </c>
      <c r="N487" s="170">
        <f t="shared" si="104"/>
        <v>88.362875000000003</v>
      </c>
      <c r="O487" s="170">
        <f t="shared" si="104"/>
        <v>106.03545000000001</v>
      </c>
      <c r="P487" s="170">
        <f t="shared" si="104"/>
        <v>106.03545000000001</v>
      </c>
    </row>
    <row r="488" spans="2:16" ht="13" hidden="1" outlineLevel="1" x14ac:dyDescent="0.3">
      <c r="B488" s="7"/>
      <c r="C488" s="4" t="s">
        <v>395</v>
      </c>
      <c r="D488" s="6" t="s">
        <v>322</v>
      </c>
      <c r="E488" s="6" t="s">
        <v>56</v>
      </c>
      <c r="F488" s="67">
        <f t="shared" si="82"/>
        <v>7591.26116</v>
      </c>
      <c r="H488" s="170">
        <f t="shared" ref="H488:P488" si="105">IF(-H145&gt;G657,0,
IF((+H317+G488+IF(H145&lt;0,H145,0))&lt;0,0,(+H317+G488+IF(H145&lt;0,H145,0))))</f>
        <v>0</v>
      </c>
      <c r="I488" s="170">
        <f t="shared" si="105"/>
        <v>0</v>
      </c>
      <c r="J488" s="170">
        <f t="shared" si="105"/>
        <v>0</v>
      </c>
      <c r="K488" s="170">
        <f t="shared" si="105"/>
        <v>0</v>
      </c>
      <c r="L488" s="170">
        <f t="shared" si="105"/>
        <v>0</v>
      </c>
      <c r="M488" s="170">
        <f t="shared" si="105"/>
        <v>0</v>
      </c>
      <c r="N488" s="170">
        <f t="shared" si="105"/>
        <v>1265.2101933333333</v>
      </c>
      <c r="O488" s="170">
        <f t="shared" si="105"/>
        <v>2530.4203866666667</v>
      </c>
      <c r="P488" s="170">
        <f t="shared" si="105"/>
        <v>3795.63058</v>
      </c>
    </row>
    <row r="489" spans="2:16" ht="13" hidden="1" outlineLevel="1" x14ac:dyDescent="0.3">
      <c r="B489" s="7"/>
      <c r="C489" s="4" t="s">
        <v>396</v>
      </c>
      <c r="D489" s="6" t="s">
        <v>322</v>
      </c>
      <c r="E489" s="6" t="s">
        <v>56</v>
      </c>
      <c r="F489" s="67">
        <f t="shared" si="82"/>
        <v>49.045615500000004</v>
      </c>
      <c r="H489" s="170">
        <f t="shared" ref="H489:P489" si="106">IF(-H146&gt;G658,0,
IF((+H318+G489+IF(H146&lt;0,H146,0))&lt;0,0,(+H318+G489+IF(H146&lt;0,H146,0))))</f>
        <v>0</v>
      </c>
      <c r="I489" s="170">
        <f t="shared" si="106"/>
        <v>0</v>
      </c>
      <c r="J489" s="170">
        <f t="shared" si="106"/>
        <v>0</v>
      </c>
      <c r="K489" s="170">
        <f t="shared" si="106"/>
        <v>0</v>
      </c>
      <c r="L489" s="170">
        <f t="shared" si="106"/>
        <v>0</v>
      </c>
      <c r="M489" s="170">
        <f t="shared" si="106"/>
        <v>0</v>
      </c>
      <c r="N489" s="170">
        <f t="shared" si="106"/>
        <v>0</v>
      </c>
      <c r="O489" s="170">
        <f t="shared" si="106"/>
        <v>3.50325825</v>
      </c>
      <c r="P489" s="170">
        <f t="shared" si="106"/>
        <v>45.542357250000002</v>
      </c>
    </row>
    <row r="490" spans="2:16" ht="13" hidden="1" outlineLevel="1" x14ac:dyDescent="0.3">
      <c r="B490" s="7"/>
      <c r="C490" s="4" t="s">
        <v>385</v>
      </c>
      <c r="D490" s="6" t="s">
        <v>322</v>
      </c>
      <c r="E490" s="6" t="s">
        <v>56</v>
      </c>
      <c r="F490" s="67">
        <f t="shared" si="82"/>
        <v>217.6746971428571</v>
      </c>
      <c r="H490" s="170">
        <f t="shared" ref="H490:P490" si="107">IF(-H147&gt;G659,0,
IF((+H319+G490+IF(H147&lt;0,H147,0))&lt;0,0,(+H319+G490+IF(H147&lt;0,H147,0))))</f>
        <v>0</v>
      </c>
      <c r="I490" s="170">
        <f t="shared" si="107"/>
        <v>0</v>
      </c>
      <c r="J490" s="170">
        <f t="shared" si="107"/>
        <v>0</v>
      </c>
      <c r="K490" s="170">
        <f t="shared" si="107"/>
        <v>0</v>
      </c>
      <c r="L490" s="170">
        <f t="shared" si="107"/>
        <v>0</v>
      </c>
      <c r="M490" s="170">
        <f t="shared" si="107"/>
        <v>0</v>
      </c>
      <c r="N490" s="170">
        <f t="shared" si="107"/>
        <v>18.13955809523809</v>
      </c>
      <c r="O490" s="170">
        <f t="shared" si="107"/>
        <v>72.558232380952376</v>
      </c>
      <c r="P490" s="170">
        <f t="shared" si="107"/>
        <v>126.97690666666665</v>
      </c>
    </row>
    <row r="491" spans="2:16" ht="13" hidden="1" outlineLevel="1" x14ac:dyDescent="0.3">
      <c r="B491" s="7"/>
      <c r="C491" s="4" t="s">
        <v>349</v>
      </c>
      <c r="D491" s="6" t="s">
        <v>322</v>
      </c>
      <c r="E491" s="6" t="s">
        <v>56</v>
      </c>
      <c r="F491" s="67">
        <f t="shared" si="82"/>
        <v>1007.2800124999997</v>
      </c>
      <c r="H491" s="170">
        <f t="shared" ref="H491:P491" si="108">IF(-H148&gt;G660,0,
IF((+H320+G491+IF(H148&lt;0,H148,0))&lt;0,0,(+H320+G491+IF(H148&lt;0,H148,0))))</f>
        <v>0</v>
      </c>
      <c r="I491" s="170">
        <f t="shared" si="108"/>
        <v>0</v>
      </c>
      <c r="J491" s="170">
        <f t="shared" si="108"/>
        <v>0</v>
      </c>
      <c r="K491" s="170">
        <f t="shared" si="108"/>
        <v>0</v>
      </c>
      <c r="L491" s="170">
        <f t="shared" si="108"/>
        <v>0</v>
      </c>
      <c r="M491" s="170">
        <f t="shared" si="108"/>
        <v>0</v>
      </c>
      <c r="N491" s="170">
        <f t="shared" si="108"/>
        <v>109.54102559523805</v>
      </c>
      <c r="O491" s="170">
        <f t="shared" si="108"/>
        <v>335.76000416666659</v>
      </c>
      <c r="P491" s="170">
        <f t="shared" si="108"/>
        <v>561.97898273809506</v>
      </c>
    </row>
    <row r="492" spans="2:16" ht="13" hidden="1" outlineLevel="1" x14ac:dyDescent="0.3">
      <c r="B492" s="7"/>
      <c r="C492" s="4" t="s">
        <v>397</v>
      </c>
      <c r="D492" s="6" t="s">
        <v>322</v>
      </c>
      <c r="E492" s="6" t="s">
        <v>56</v>
      </c>
      <c r="F492" s="67">
        <f t="shared" si="82"/>
        <v>41.833100833333333</v>
      </c>
      <c r="H492" s="170">
        <f t="shared" ref="H492:P492" si="109">IF(-H149&gt;G661,0,
IF((+H321+G492+IF(H149&lt;0,H149,0))&lt;0,0,(+H321+G492+IF(H149&lt;0,H149,0))))</f>
        <v>0</v>
      </c>
      <c r="I492" s="170">
        <f t="shared" si="109"/>
        <v>0</v>
      </c>
      <c r="J492" s="170">
        <f t="shared" si="109"/>
        <v>0</v>
      </c>
      <c r="K492" s="170">
        <f t="shared" si="109"/>
        <v>0</v>
      </c>
      <c r="L492" s="170">
        <f t="shared" si="109"/>
        <v>0</v>
      </c>
      <c r="M492" s="170">
        <f t="shared" si="109"/>
        <v>0</v>
      </c>
      <c r="N492" s="170">
        <f t="shared" si="109"/>
        <v>4.583113611111111</v>
      </c>
      <c r="O492" s="170">
        <f t="shared" si="109"/>
        <v>13.944366944444445</v>
      </c>
      <c r="P492" s="170">
        <f t="shared" si="109"/>
        <v>23.305620277777777</v>
      </c>
    </row>
    <row r="493" spans="2:16" ht="13" hidden="1" outlineLevel="1" x14ac:dyDescent="0.3">
      <c r="B493" s="7"/>
      <c r="C493" s="4" t="s">
        <v>390</v>
      </c>
      <c r="D493" s="6" t="s">
        <v>322</v>
      </c>
      <c r="E493" s="6" t="s">
        <v>56</v>
      </c>
      <c r="F493" s="67">
        <f t="shared" si="82"/>
        <v>970.7061288333332</v>
      </c>
      <c r="H493" s="170">
        <f t="shared" ref="H493:P493" si="110">IF(-H150&gt;G662,0,
IF((+H322+G493+IF(H150&lt;0,H150,0))&lt;0,0,(+H322+G493+IF(H150&lt;0,H150,0))))</f>
        <v>0</v>
      </c>
      <c r="I493" s="170">
        <f t="shared" si="110"/>
        <v>0</v>
      </c>
      <c r="J493" s="170">
        <f t="shared" si="110"/>
        <v>0</v>
      </c>
      <c r="K493" s="170">
        <f t="shared" si="110"/>
        <v>0</v>
      </c>
      <c r="L493" s="170">
        <f t="shared" si="110"/>
        <v>0</v>
      </c>
      <c r="M493" s="170">
        <f t="shared" si="110"/>
        <v>0</v>
      </c>
      <c r="N493" s="170">
        <f t="shared" si="110"/>
        <v>105.74506827777778</v>
      </c>
      <c r="O493" s="170">
        <f t="shared" si="110"/>
        <v>323.5687096111111</v>
      </c>
      <c r="P493" s="170">
        <f t="shared" si="110"/>
        <v>541.39235094444439</v>
      </c>
    </row>
    <row r="494" spans="2:16" ht="13" hidden="1" outlineLevel="1" x14ac:dyDescent="0.3">
      <c r="B494" s="7"/>
      <c r="C494" s="4" t="s">
        <v>398</v>
      </c>
      <c r="D494" s="6" t="s">
        <v>322</v>
      </c>
      <c r="E494" s="6" t="s">
        <v>56</v>
      </c>
      <c r="F494" s="67">
        <f t="shared" si="82"/>
        <v>114.41764285714285</v>
      </c>
      <c r="H494" s="170">
        <f t="shared" ref="H494:P494" si="111">IF(-H151&gt;G663,0,
IF((+H323+G494+IF(H151&lt;0,H151,0))&lt;0,0,(+H323+G494+IF(H151&lt;0,H151,0))))</f>
        <v>0</v>
      </c>
      <c r="I494" s="170">
        <f t="shared" si="111"/>
        <v>0</v>
      </c>
      <c r="J494" s="170">
        <f t="shared" si="111"/>
        <v>0</v>
      </c>
      <c r="K494" s="170">
        <f t="shared" si="111"/>
        <v>0</v>
      </c>
      <c r="L494" s="170">
        <f t="shared" si="111"/>
        <v>0</v>
      </c>
      <c r="M494" s="170">
        <f t="shared" si="111"/>
        <v>0</v>
      </c>
      <c r="N494" s="170">
        <f t="shared" si="111"/>
        <v>12.713071428571428</v>
      </c>
      <c r="O494" s="170">
        <f t="shared" si="111"/>
        <v>38.139214285714289</v>
      </c>
      <c r="P494" s="170">
        <f t="shared" si="111"/>
        <v>63.565357142857145</v>
      </c>
    </row>
    <row r="495" spans="2:16" ht="13" hidden="1" outlineLevel="1" x14ac:dyDescent="0.3">
      <c r="B495" s="7"/>
      <c r="C495" s="4" t="s">
        <v>399</v>
      </c>
      <c r="D495" s="6" t="s">
        <v>322</v>
      </c>
      <c r="E495" s="6" t="s">
        <v>56</v>
      </c>
      <c r="F495" s="67">
        <f t="shared" si="82"/>
        <v>167.6137517857143</v>
      </c>
      <c r="H495" s="170">
        <f t="shared" ref="H495:P495" si="112">IF(-H152&gt;G664,0,
IF((+H324+G495+IF(H152&lt;0,H152,0))&lt;0,0,(+H324+G495+IF(H152&lt;0,H152,0))))</f>
        <v>0</v>
      </c>
      <c r="I495" s="170">
        <f t="shared" si="112"/>
        <v>0</v>
      </c>
      <c r="J495" s="170">
        <f t="shared" si="112"/>
        <v>0</v>
      </c>
      <c r="K495" s="170">
        <f t="shared" si="112"/>
        <v>0</v>
      </c>
      <c r="L495" s="170">
        <f t="shared" si="112"/>
        <v>0</v>
      </c>
      <c r="M495" s="170">
        <f t="shared" si="112"/>
        <v>0</v>
      </c>
      <c r="N495" s="170">
        <f t="shared" si="112"/>
        <v>17.530409166666665</v>
      </c>
      <c r="O495" s="170">
        <f t="shared" si="112"/>
        <v>55.871250595238095</v>
      </c>
      <c r="P495" s="170">
        <f t="shared" si="112"/>
        <v>94.212092023809532</v>
      </c>
    </row>
    <row r="496" spans="2:16" ht="13" hidden="1" outlineLevel="1" x14ac:dyDescent="0.3">
      <c r="B496" s="7"/>
      <c r="C496" s="4" t="s">
        <v>400</v>
      </c>
      <c r="D496" s="6" t="s">
        <v>322</v>
      </c>
      <c r="E496" s="6" t="s">
        <v>56</v>
      </c>
      <c r="F496" s="67">
        <f t="shared" si="82"/>
        <v>30.7166125</v>
      </c>
      <c r="H496" s="170">
        <f t="shared" ref="H496:P496" si="113">IF(-H153&gt;G665,0,
IF((+H325+G496+IF(H153&lt;0,H153,0))&lt;0,0,(+H325+G496+IF(H153&lt;0,H153,0))))</f>
        <v>0</v>
      </c>
      <c r="I496" s="170">
        <f t="shared" si="113"/>
        <v>0</v>
      </c>
      <c r="J496" s="170">
        <f t="shared" si="113"/>
        <v>0</v>
      </c>
      <c r="K496" s="170">
        <f t="shared" si="113"/>
        <v>0</v>
      </c>
      <c r="L496" s="170">
        <f t="shared" si="113"/>
        <v>0</v>
      </c>
      <c r="M496" s="170">
        <f t="shared" si="113"/>
        <v>0</v>
      </c>
      <c r="N496" s="170">
        <f t="shared" si="113"/>
        <v>3.2179308333333334</v>
      </c>
      <c r="O496" s="170">
        <f t="shared" si="113"/>
        <v>10.238870833333333</v>
      </c>
      <c r="P496" s="170">
        <f t="shared" si="113"/>
        <v>17.259810833333333</v>
      </c>
    </row>
    <row r="497" spans="2:16" ht="13" hidden="1" outlineLevel="1" x14ac:dyDescent="0.3">
      <c r="B497" s="7"/>
      <c r="C497" s="4" t="s">
        <v>401</v>
      </c>
      <c r="D497" s="6" t="s">
        <v>322</v>
      </c>
      <c r="E497" s="6" t="s">
        <v>56</v>
      </c>
      <c r="F497" s="67">
        <f t="shared" si="82"/>
        <v>297.30311357142858</v>
      </c>
      <c r="H497" s="170">
        <f t="shared" ref="H497:P497" si="114">IF(-H154&gt;G666,0,
IF((+H326+G497+IF(H154&lt;0,H154,0))&lt;0,0,(+H326+G497+IF(H154&lt;0,H154,0))))</f>
        <v>0</v>
      </c>
      <c r="I497" s="170">
        <f t="shared" si="114"/>
        <v>0</v>
      </c>
      <c r="J497" s="170">
        <f t="shared" si="114"/>
        <v>0</v>
      </c>
      <c r="K497" s="170">
        <f t="shared" si="114"/>
        <v>0</v>
      </c>
      <c r="L497" s="170">
        <f t="shared" si="114"/>
        <v>0</v>
      </c>
      <c r="M497" s="170">
        <f t="shared" si="114"/>
        <v>0</v>
      </c>
      <c r="N497" s="170">
        <f t="shared" si="114"/>
        <v>33.033679285714285</v>
      </c>
      <c r="O497" s="170">
        <f t="shared" si="114"/>
        <v>99.101037857142856</v>
      </c>
      <c r="P497" s="170">
        <f t="shared" si="114"/>
        <v>165.16839642857144</v>
      </c>
    </row>
    <row r="498" spans="2:16" ht="13" hidden="1" outlineLevel="1" x14ac:dyDescent="0.3">
      <c r="B498" s="7"/>
      <c r="C498" s="4" t="s">
        <v>402</v>
      </c>
      <c r="D498" s="6" t="s">
        <v>322</v>
      </c>
      <c r="E498" s="6" t="s">
        <v>56</v>
      </c>
      <c r="F498" s="67">
        <f t="shared" si="82"/>
        <v>370.89514285714284</v>
      </c>
      <c r="H498" s="170">
        <f t="shared" ref="H498:P498" si="115">IF(-H155&gt;G667,0,
IF((+H327+G498+IF(H155&lt;0,H155,0))&lt;0,0,(+H327+G498+IF(H155&lt;0,H155,0))))</f>
        <v>0</v>
      </c>
      <c r="I498" s="170">
        <f t="shared" si="115"/>
        <v>0</v>
      </c>
      <c r="J498" s="170">
        <f t="shared" si="115"/>
        <v>0</v>
      </c>
      <c r="K498" s="170">
        <f t="shared" si="115"/>
        <v>0</v>
      </c>
      <c r="L498" s="170">
        <f t="shared" si="115"/>
        <v>0</v>
      </c>
      <c r="M498" s="170">
        <f t="shared" si="115"/>
        <v>0</v>
      </c>
      <c r="N498" s="170">
        <f t="shared" si="115"/>
        <v>41.210571428571427</v>
      </c>
      <c r="O498" s="170">
        <f t="shared" si="115"/>
        <v>123.63171428571428</v>
      </c>
      <c r="P498" s="170">
        <f t="shared" si="115"/>
        <v>206.05285714285714</v>
      </c>
    </row>
    <row r="499" spans="2:16" ht="13" hidden="1" outlineLevel="1" x14ac:dyDescent="0.3">
      <c r="B499" s="7"/>
      <c r="C499" s="4" t="s">
        <v>403</v>
      </c>
      <c r="D499" s="6" t="s">
        <v>322</v>
      </c>
      <c r="E499" s="6" t="s">
        <v>56</v>
      </c>
      <c r="F499" s="67">
        <f t="shared" si="82"/>
        <v>227.86864071428573</v>
      </c>
      <c r="H499" s="170">
        <f t="shared" ref="H499:P499" si="116">IF(-H156&gt;G668,0,
IF((+H328+G499+IF(H156&lt;0,H156,0))&lt;0,0,(+H328+G499+IF(H156&lt;0,H156,0))))</f>
        <v>0</v>
      </c>
      <c r="I499" s="170">
        <f t="shared" si="116"/>
        <v>0</v>
      </c>
      <c r="J499" s="170">
        <f t="shared" si="116"/>
        <v>0</v>
      </c>
      <c r="K499" s="170">
        <f t="shared" si="116"/>
        <v>0</v>
      </c>
      <c r="L499" s="170">
        <f t="shared" si="116"/>
        <v>0</v>
      </c>
      <c r="M499" s="170">
        <f t="shared" si="116"/>
        <v>0</v>
      </c>
      <c r="N499" s="170">
        <f t="shared" si="116"/>
        <v>25.318737857142857</v>
      </c>
      <c r="O499" s="170">
        <f t="shared" si="116"/>
        <v>75.956213571428577</v>
      </c>
      <c r="P499" s="170">
        <f t="shared" si="116"/>
        <v>126.59368928571429</v>
      </c>
    </row>
    <row r="500" spans="2:16" ht="13" hidden="1" outlineLevel="1" x14ac:dyDescent="0.3">
      <c r="B500" s="7"/>
      <c r="C500" s="4" t="s">
        <v>404</v>
      </c>
      <c r="D500" s="6" t="s">
        <v>322</v>
      </c>
      <c r="E500" s="6" t="s">
        <v>56</v>
      </c>
      <c r="F500" s="67">
        <f t="shared" si="82"/>
        <v>10.531409999999997</v>
      </c>
      <c r="H500" s="170">
        <f t="shared" ref="H500:P500" si="117">IF(-H157&gt;G669,0,
IF((+H329+G500+IF(H157&lt;0,H157,0))&lt;0,0,(+H329+G500+IF(H157&lt;0,H157,0))))</f>
        <v>0</v>
      </c>
      <c r="I500" s="170">
        <f t="shared" si="117"/>
        <v>0</v>
      </c>
      <c r="J500" s="170">
        <f t="shared" si="117"/>
        <v>0</v>
      </c>
      <c r="K500" s="170">
        <f t="shared" si="117"/>
        <v>0</v>
      </c>
      <c r="L500" s="170">
        <f t="shared" si="117"/>
        <v>0</v>
      </c>
      <c r="M500" s="170">
        <f t="shared" si="117"/>
        <v>0</v>
      </c>
      <c r="N500" s="170">
        <f t="shared" si="117"/>
        <v>1.1701566666666665</v>
      </c>
      <c r="O500" s="170">
        <f t="shared" si="117"/>
        <v>3.5104699999999998</v>
      </c>
      <c r="P500" s="170">
        <f t="shared" si="117"/>
        <v>5.8507833333333323</v>
      </c>
    </row>
    <row r="501" spans="2:16" ht="13" hidden="1" outlineLevel="1" x14ac:dyDescent="0.3">
      <c r="B501" s="7"/>
      <c r="C501" s="4" t="s">
        <v>405</v>
      </c>
      <c r="D501" s="6" t="s">
        <v>322</v>
      </c>
      <c r="E501" s="6" t="s">
        <v>56</v>
      </c>
      <c r="F501" s="67">
        <f t="shared" si="82"/>
        <v>155.23349428571427</v>
      </c>
      <c r="H501" s="170">
        <f t="shared" ref="H501:P501" si="118">IF(-H158&gt;G670,0,
IF((+H330+G501+IF(H158&lt;0,H158,0))&lt;0,0,(+H330+G501+IF(H158&lt;0,H158,0))))</f>
        <v>0</v>
      </c>
      <c r="I501" s="170">
        <f t="shared" si="118"/>
        <v>0</v>
      </c>
      <c r="J501" s="170">
        <f t="shared" si="118"/>
        <v>0</v>
      </c>
      <c r="K501" s="170">
        <f t="shared" si="118"/>
        <v>0</v>
      </c>
      <c r="L501" s="170">
        <f t="shared" si="118"/>
        <v>0</v>
      </c>
      <c r="M501" s="170">
        <f t="shared" si="118"/>
        <v>0</v>
      </c>
      <c r="N501" s="170">
        <f t="shared" si="118"/>
        <v>0</v>
      </c>
      <c r="O501" s="170">
        <f t="shared" si="118"/>
        <v>38.808373571428568</v>
      </c>
      <c r="P501" s="170">
        <f t="shared" si="118"/>
        <v>116.4251207142857</v>
      </c>
    </row>
    <row r="502" spans="2:16" ht="13" hidden="1" outlineLevel="1" x14ac:dyDescent="0.3">
      <c r="B502" s="7"/>
      <c r="C502" s="4" t="s">
        <v>406</v>
      </c>
      <c r="D502" s="6" t="s">
        <v>322</v>
      </c>
      <c r="E502" s="6" t="s">
        <v>56</v>
      </c>
      <c r="F502" s="67">
        <f t="shared" si="82"/>
        <v>8.5714285714285712</v>
      </c>
      <c r="H502" s="170">
        <f t="shared" ref="H502:P502" si="119">IF(-H159&gt;G671,0,
IF((+H331+G502+IF(H159&lt;0,H159,0))&lt;0,0,(+H331+G502+IF(H159&lt;0,H159,0))))</f>
        <v>0</v>
      </c>
      <c r="I502" s="170">
        <f t="shared" si="119"/>
        <v>0</v>
      </c>
      <c r="J502" s="170">
        <f t="shared" si="119"/>
        <v>0</v>
      </c>
      <c r="K502" s="170">
        <f t="shared" si="119"/>
        <v>0</v>
      </c>
      <c r="L502" s="170">
        <f t="shared" si="119"/>
        <v>0</v>
      </c>
      <c r="M502" s="170">
        <f t="shared" si="119"/>
        <v>0</v>
      </c>
      <c r="N502" s="170">
        <f t="shared" si="119"/>
        <v>0</v>
      </c>
      <c r="O502" s="170">
        <f t="shared" si="119"/>
        <v>1.4285714285714284</v>
      </c>
      <c r="P502" s="170">
        <f t="shared" si="119"/>
        <v>7.1428571428571423</v>
      </c>
    </row>
    <row r="503" spans="2:16" ht="13" hidden="1" outlineLevel="1" x14ac:dyDescent="0.3">
      <c r="B503" s="7"/>
      <c r="C503" s="4" t="s">
        <v>407</v>
      </c>
      <c r="D503" s="6" t="s">
        <v>322</v>
      </c>
      <c r="E503" s="6" t="s">
        <v>56</v>
      </c>
      <c r="F503" s="67">
        <f t="shared" si="82"/>
        <v>236.82151472222222</v>
      </c>
      <c r="H503" s="170">
        <f t="shared" ref="H503:P503" si="120">IF(-H160&gt;G672,0,
IF((+H332+G503+IF(H160&lt;0,H160,0))&lt;0,0,(+H332+G503+IF(H160&lt;0,H160,0))))</f>
        <v>0</v>
      </c>
      <c r="I503" s="170">
        <f t="shared" si="120"/>
        <v>0</v>
      </c>
      <c r="J503" s="170">
        <f t="shared" si="120"/>
        <v>0</v>
      </c>
      <c r="K503" s="170">
        <f t="shared" si="120"/>
        <v>0</v>
      </c>
      <c r="L503" s="170">
        <f t="shared" si="120"/>
        <v>0</v>
      </c>
      <c r="M503" s="170">
        <f t="shared" si="120"/>
        <v>0</v>
      </c>
      <c r="N503" s="170">
        <f t="shared" si="120"/>
        <v>0</v>
      </c>
      <c r="O503" s="170">
        <f t="shared" si="120"/>
        <v>0</v>
      </c>
      <c r="P503" s="170">
        <f t="shared" si="120"/>
        <v>236.82151472222222</v>
      </c>
    </row>
    <row r="504" spans="2:16" ht="13" hidden="1" outlineLevel="1" x14ac:dyDescent="0.3">
      <c r="B504" s="7"/>
      <c r="C504" s="4" t="s">
        <v>377</v>
      </c>
      <c r="D504" s="6" t="s">
        <v>322</v>
      </c>
      <c r="E504" s="6" t="s">
        <v>56</v>
      </c>
      <c r="F504" s="67">
        <f t="shared" si="82"/>
        <v>3284.8281434999999</v>
      </c>
      <c r="H504" s="170">
        <f t="shared" ref="H504:P504" si="121">IF(-H161&gt;G673,0,
IF((+H333+G504+IF(H161&lt;0,H161,0))&lt;0,0,(+H333+G504+IF(H161&lt;0,H161,0))))</f>
        <v>34.432160833333334</v>
      </c>
      <c r="I504" s="170">
        <f t="shared" si="121"/>
        <v>117.06934683333333</v>
      </c>
      <c r="J504" s="170">
        <f t="shared" si="121"/>
        <v>199.70653283333331</v>
      </c>
      <c r="K504" s="170">
        <f t="shared" si="121"/>
        <v>282.3437188333333</v>
      </c>
      <c r="L504" s="170">
        <f t="shared" si="121"/>
        <v>364.98090483333328</v>
      </c>
      <c r="M504" s="170">
        <f t="shared" si="121"/>
        <v>447.61809083333327</v>
      </c>
      <c r="N504" s="170">
        <f t="shared" si="121"/>
        <v>530.25527683333326</v>
      </c>
      <c r="O504" s="170">
        <f t="shared" si="121"/>
        <v>612.8924628333333</v>
      </c>
      <c r="P504" s="170">
        <f t="shared" si="121"/>
        <v>695.52964883333334</v>
      </c>
    </row>
    <row r="505" spans="2:16" ht="13" hidden="1" outlineLevel="1" x14ac:dyDescent="0.3">
      <c r="B505" s="7"/>
      <c r="C505" s="4" t="s">
        <v>326</v>
      </c>
      <c r="D505" s="6" t="s">
        <v>322</v>
      </c>
      <c r="E505" s="6" t="s">
        <v>56</v>
      </c>
      <c r="F505" s="67">
        <f t="shared" si="82"/>
        <v>23.200199999999995</v>
      </c>
      <c r="H505" s="170">
        <f t="shared" ref="H505:P505" si="122">IF(-H162&gt;G674,0,
IF((+H334+G505+IF(H162&lt;0,H162,0))&lt;0,0,(+H334+G505+IF(H162&lt;0,H162,0))))</f>
        <v>0</v>
      </c>
      <c r="I505" s="170">
        <f t="shared" si="122"/>
        <v>0.82857857142857139</v>
      </c>
      <c r="J505" s="170">
        <f t="shared" si="122"/>
        <v>1.6571571428571428</v>
      </c>
      <c r="K505" s="170">
        <f t="shared" si="122"/>
        <v>2.4857357142857142</v>
      </c>
      <c r="L505" s="170">
        <f t="shared" si="122"/>
        <v>3.3143142857142855</v>
      </c>
      <c r="M505" s="170">
        <f t="shared" si="122"/>
        <v>4.1428928571428569</v>
      </c>
      <c r="N505" s="170">
        <f t="shared" si="122"/>
        <v>4.9714714285714283</v>
      </c>
      <c r="O505" s="170">
        <f t="shared" si="122"/>
        <v>5.8000499999999997</v>
      </c>
      <c r="P505" s="170">
        <f t="shared" si="122"/>
        <v>0</v>
      </c>
    </row>
    <row r="506" spans="2:16" ht="13" hidden="1" outlineLevel="1" x14ac:dyDescent="0.3">
      <c r="B506" s="7"/>
      <c r="C506" s="4" t="s">
        <v>451</v>
      </c>
      <c r="D506" s="6" t="s">
        <v>322</v>
      </c>
      <c r="E506" s="6" t="s">
        <v>56</v>
      </c>
      <c r="F506" s="67">
        <f t="shared" si="82"/>
        <v>251.14704999999998</v>
      </c>
      <c r="H506" s="170">
        <f t="shared" ref="H506:P506" si="123">IF(-H163&gt;G675,0,
IF((+H335+G506+IF(H163&lt;0,H163,0))&lt;0,0,(+H335+G506+IF(H163&lt;0,H163,0))))</f>
        <v>0</v>
      </c>
      <c r="I506" s="170">
        <f t="shared" si="123"/>
        <v>4.5663100000000005</v>
      </c>
      <c r="J506" s="170">
        <f t="shared" si="123"/>
        <v>12.394270000000001</v>
      </c>
      <c r="K506" s="170">
        <f t="shared" si="123"/>
        <v>20.22223</v>
      </c>
      <c r="L506" s="170">
        <f t="shared" si="123"/>
        <v>28.050190000000001</v>
      </c>
      <c r="M506" s="170">
        <f t="shared" si="123"/>
        <v>35.878149999999998</v>
      </c>
      <c r="N506" s="170">
        <f t="shared" si="123"/>
        <v>43.706109999999995</v>
      </c>
      <c r="O506" s="170">
        <f t="shared" si="123"/>
        <v>51.534069999999993</v>
      </c>
      <c r="P506" s="170">
        <f t="shared" si="123"/>
        <v>54.795720000000003</v>
      </c>
    </row>
    <row r="507" spans="2:16" ht="13" hidden="1" outlineLevel="1" x14ac:dyDescent="0.3">
      <c r="B507" s="7"/>
      <c r="C507" s="4" t="s">
        <v>452</v>
      </c>
      <c r="D507" s="6" t="s">
        <v>322</v>
      </c>
      <c r="E507" s="6" t="s">
        <v>56</v>
      </c>
      <c r="F507" s="67">
        <f t="shared" si="82"/>
        <v>21.957661785714286</v>
      </c>
      <c r="H507" s="170">
        <f t="shared" ref="H507:P507" si="124">IF(-H164&gt;G676,0,
IF((+H336+G507+IF(H164&lt;0,H164,0))&lt;0,0,(+H336+G507+IF(H164&lt;0,H164,0))))</f>
        <v>0</v>
      </c>
      <c r="I507" s="170">
        <f t="shared" si="124"/>
        <v>0</v>
      </c>
      <c r="J507" s="170">
        <f t="shared" si="124"/>
        <v>21.957661785714286</v>
      </c>
      <c r="K507" s="170">
        <f t="shared" si="124"/>
        <v>0</v>
      </c>
      <c r="L507" s="170">
        <f t="shared" si="124"/>
        <v>0</v>
      </c>
      <c r="M507" s="170">
        <f t="shared" si="124"/>
        <v>0</v>
      </c>
      <c r="N507" s="170">
        <f t="shared" si="124"/>
        <v>0</v>
      </c>
      <c r="O507" s="170">
        <f t="shared" si="124"/>
        <v>0</v>
      </c>
      <c r="P507" s="170">
        <f t="shared" si="124"/>
        <v>0</v>
      </c>
    </row>
    <row r="508" spans="2:16" ht="13" hidden="1" outlineLevel="1" x14ac:dyDescent="0.3">
      <c r="B508" s="7"/>
      <c r="C508" s="4" t="s">
        <v>402</v>
      </c>
      <c r="D508" s="6" t="s">
        <v>322</v>
      </c>
      <c r="E508" s="6" t="s">
        <v>56</v>
      </c>
      <c r="F508" s="67">
        <f t="shared" si="82"/>
        <v>1383.8730999999998</v>
      </c>
      <c r="H508" s="170">
        <f t="shared" ref="H508:P508" si="125">IF(-H165&gt;G677,0,
IF((+H337+G508+IF(H165&lt;0,H165,0))&lt;0,0,(+H337+G508+IF(H165&lt;0,H165,0))))</f>
        <v>0</v>
      </c>
      <c r="I508" s="170">
        <f t="shared" si="125"/>
        <v>0</v>
      </c>
      <c r="J508" s="170">
        <f t="shared" si="125"/>
        <v>0</v>
      </c>
      <c r="K508" s="170">
        <f t="shared" si="125"/>
        <v>27.134766666666664</v>
      </c>
      <c r="L508" s="170">
        <f t="shared" si="125"/>
        <v>108.53906666666666</v>
      </c>
      <c r="M508" s="170">
        <f t="shared" si="125"/>
        <v>189.94336666666663</v>
      </c>
      <c r="N508" s="170">
        <f t="shared" si="125"/>
        <v>271.34766666666661</v>
      </c>
      <c r="O508" s="170">
        <f t="shared" si="125"/>
        <v>352.75196666666659</v>
      </c>
      <c r="P508" s="170">
        <f t="shared" si="125"/>
        <v>434.15626666666657</v>
      </c>
    </row>
    <row r="509" spans="2:16" ht="13" hidden="1" outlineLevel="1" x14ac:dyDescent="0.3">
      <c r="B509" s="7"/>
      <c r="C509" s="4" t="s">
        <v>453</v>
      </c>
      <c r="D509" s="6" t="s">
        <v>322</v>
      </c>
      <c r="E509" s="6" t="s">
        <v>56</v>
      </c>
      <c r="F509" s="67">
        <f t="shared" si="82"/>
        <v>189.2189742857143</v>
      </c>
      <c r="H509" s="170">
        <f t="shared" ref="H509:P509" si="126">IF(-H166&gt;G678,0,
IF((+H338+G509+IF(H166&lt;0,H166,0))&lt;0,0,(+H338+G509+IF(H166&lt;0,H166,0))))</f>
        <v>0</v>
      </c>
      <c r="I509" s="170">
        <f t="shared" si="126"/>
        <v>0</v>
      </c>
      <c r="J509" s="170">
        <f t="shared" si="126"/>
        <v>0</v>
      </c>
      <c r="K509" s="170">
        <f t="shared" si="126"/>
        <v>0</v>
      </c>
      <c r="L509" s="170">
        <f t="shared" si="126"/>
        <v>0</v>
      </c>
      <c r="M509" s="170">
        <f t="shared" si="126"/>
        <v>0</v>
      </c>
      <c r="N509" s="170">
        <f t="shared" si="126"/>
        <v>31.536495714285714</v>
      </c>
      <c r="O509" s="170">
        <f t="shared" si="126"/>
        <v>63.072991428571427</v>
      </c>
      <c r="P509" s="170">
        <f t="shared" si="126"/>
        <v>94.609487142857148</v>
      </c>
    </row>
    <row r="510" spans="2:16" ht="13" hidden="1" outlineLevel="1" x14ac:dyDescent="0.3">
      <c r="B510" s="7"/>
      <c r="C510" s="4" t="s">
        <v>454</v>
      </c>
      <c r="D510" s="6" t="s">
        <v>322</v>
      </c>
      <c r="E510" s="6" t="s">
        <v>56</v>
      </c>
      <c r="F510" s="67">
        <f t="shared" si="82"/>
        <v>89.806281333333345</v>
      </c>
      <c r="H510" s="170">
        <f t="shared" ref="H510:P510" si="127">IF(-H167&gt;G679,0,
IF((+H339+G510+IF(H167&lt;0,H167,0))&lt;0,0,(+H339+G510+IF(H167&lt;0,H167,0))))</f>
        <v>0</v>
      </c>
      <c r="I510" s="170">
        <f t="shared" si="127"/>
        <v>0</v>
      </c>
      <c r="J510" s="170">
        <f t="shared" si="127"/>
        <v>0</v>
      </c>
      <c r="K510" s="170">
        <f t="shared" si="127"/>
        <v>0</v>
      </c>
      <c r="L510" s="170">
        <f t="shared" si="127"/>
        <v>0</v>
      </c>
      <c r="M510" s="170">
        <f t="shared" si="127"/>
        <v>5.9618423333333341</v>
      </c>
      <c r="N510" s="170">
        <f t="shared" si="127"/>
        <v>16.954994333333335</v>
      </c>
      <c r="O510" s="170">
        <f t="shared" si="127"/>
        <v>27.948146333333334</v>
      </c>
      <c r="P510" s="170">
        <f t="shared" si="127"/>
        <v>38.941298333333336</v>
      </c>
    </row>
    <row r="511" spans="2:16" ht="13" hidden="1" outlineLevel="1" x14ac:dyDescent="0.3">
      <c r="B511" s="7"/>
      <c r="C511" s="4" t="s">
        <v>455</v>
      </c>
      <c r="D511" s="6" t="s">
        <v>322</v>
      </c>
      <c r="E511" s="6" t="s">
        <v>56</v>
      </c>
      <c r="F511" s="67">
        <f t="shared" si="82"/>
        <v>79.17765</v>
      </c>
      <c r="H511" s="170">
        <f t="shared" ref="H511:P511" si="128">IF(-H168&gt;G680,0,
IF((+H340+G511+IF(H168&lt;0,H168,0))&lt;0,0,(+H340+G511+IF(H168&lt;0,H168,0))))</f>
        <v>0</v>
      </c>
      <c r="I511" s="170">
        <f t="shared" si="128"/>
        <v>0</v>
      </c>
      <c r="J511" s="170">
        <f t="shared" si="128"/>
        <v>0</v>
      </c>
      <c r="K511" s="170">
        <f t="shared" si="128"/>
        <v>0</v>
      </c>
      <c r="L511" s="170">
        <f t="shared" si="128"/>
        <v>0</v>
      </c>
      <c r="M511" s="170">
        <f t="shared" si="128"/>
        <v>1.4499787500000001</v>
      </c>
      <c r="N511" s="170">
        <f t="shared" si="128"/>
        <v>13.679601250000001</v>
      </c>
      <c r="O511" s="170">
        <f t="shared" si="128"/>
        <v>25.909223750000002</v>
      </c>
      <c r="P511" s="170">
        <f t="shared" si="128"/>
        <v>38.13884625</v>
      </c>
    </row>
    <row r="512" spans="2:16" ht="13" hidden="1" outlineLevel="1" x14ac:dyDescent="0.3">
      <c r="B512" s="7"/>
      <c r="C512" s="4" t="s">
        <v>456</v>
      </c>
      <c r="D512" s="6" t="s">
        <v>322</v>
      </c>
      <c r="E512" s="6" t="s">
        <v>56</v>
      </c>
      <c r="F512" s="67">
        <f t="shared" si="82"/>
        <v>5.8179581666666671</v>
      </c>
      <c r="H512" s="170">
        <f t="shared" ref="H512:P512" si="129">IF(-H169&gt;G681,0,
IF((+H341+G512+IF(H169&lt;0,H169,0))&lt;0,0,(+H341+G512+IF(H169&lt;0,H169,0))))</f>
        <v>0</v>
      </c>
      <c r="I512" s="170">
        <f t="shared" si="129"/>
        <v>0</v>
      </c>
      <c r="J512" s="170">
        <f t="shared" si="129"/>
        <v>0</v>
      </c>
      <c r="K512" s="170">
        <f t="shared" si="129"/>
        <v>0</v>
      </c>
      <c r="L512" s="170">
        <f t="shared" si="129"/>
        <v>0</v>
      </c>
      <c r="M512" s="170">
        <f t="shared" si="129"/>
        <v>0</v>
      </c>
      <c r="N512" s="170">
        <f t="shared" si="129"/>
        <v>0.57038805555555561</v>
      </c>
      <c r="O512" s="170">
        <f t="shared" si="129"/>
        <v>1.9393193888888891</v>
      </c>
      <c r="P512" s="170">
        <f t="shared" si="129"/>
        <v>3.3082507222222226</v>
      </c>
    </row>
    <row r="513" spans="2:16" ht="13" hidden="1" outlineLevel="1" x14ac:dyDescent="0.3">
      <c r="B513" s="7"/>
      <c r="C513" s="4" t="s">
        <v>457</v>
      </c>
      <c r="D513" s="6" t="s">
        <v>322</v>
      </c>
      <c r="E513" s="6" t="s">
        <v>56</v>
      </c>
      <c r="F513" s="67">
        <f t="shared" si="82"/>
        <v>208.21630950000002</v>
      </c>
      <c r="H513" s="170">
        <f t="shared" ref="H513:P513" si="130">IF(-H170&gt;G682,0,
IF((+H342+G513+IF(H170&lt;0,H170,0))&lt;0,0,(+H342+G513+IF(H170&lt;0,H170,0))))</f>
        <v>0</v>
      </c>
      <c r="I513" s="170">
        <f t="shared" si="130"/>
        <v>0</v>
      </c>
      <c r="J513" s="170">
        <f t="shared" si="130"/>
        <v>0</v>
      </c>
      <c r="K513" s="170">
        <f t="shared" si="130"/>
        <v>0</v>
      </c>
      <c r="L513" s="170">
        <f t="shared" si="130"/>
        <v>0</v>
      </c>
      <c r="M513" s="170">
        <f t="shared" si="130"/>
        <v>0</v>
      </c>
      <c r="N513" s="170">
        <f t="shared" si="130"/>
        <v>23.1351455</v>
      </c>
      <c r="O513" s="170">
        <f t="shared" si="130"/>
        <v>69.405436500000008</v>
      </c>
      <c r="P513" s="170">
        <f t="shared" si="130"/>
        <v>115.67572750000001</v>
      </c>
    </row>
    <row r="514" spans="2:16" ht="13" hidden="1" outlineLevel="1" x14ac:dyDescent="0.3">
      <c r="B514" s="7"/>
      <c r="C514" s="4" t="s">
        <v>458</v>
      </c>
      <c r="D514" s="6" t="s">
        <v>322</v>
      </c>
      <c r="E514" s="6" t="s">
        <v>56</v>
      </c>
      <c r="F514" s="67">
        <f t="shared" si="82"/>
        <v>3.8214285714285712</v>
      </c>
      <c r="H514" s="170">
        <f t="shared" ref="H514:P514" si="131">IF(-H171&gt;G683,0,
IF((+H343+G514+IF(H171&lt;0,H171,0))&lt;0,0,(+H343+G514+IF(H171&lt;0,H171,0))))</f>
        <v>0</v>
      </c>
      <c r="I514" s="170">
        <f t="shared" si="131"/>
        <v>0</v>
      </c>
      <c r="J514" s="170">
        <f t="shared" si="131"/>
        <v>0</v>
      </c>
      <c r="K514" s="170">
        <f t="shared" si="131"/>
        <v>0</v>
      </c>
      <c r="L514" s="170">
        <f t="shared" si="131"/>
        <v>0</v>
      </c>
      <c r="M514" s="170">
        <f t="shared" si="131"/>
        <v>0</v>
      </c>
      <c r="N514" s="170">
        <f t="shared" si="131"/>
        <v>0</v>
      </c>
      <c r="O514" s="170">
        <f t="shared" si="131"/>
        <v>0</v>
      </c>
      <c r="P514" s="170">
        <f t="shared" si="131"/>
        <v>3.8214285714285712</v>
      </c>
    </row>
    <row r="515" spans="2:16" ht="13" hidden="1" outlineLevel="1" x14ac:dyDescent="0.3">
      <c r="B515" s="7"/>
      <c r="C515" s="4" t="s">
        <v>459</v>
      </c>
      <c r="D515" s="6" t="s">
        <v>322</v>
      </c>
      <c r="E515" s="6" t="s">
        <v>56</v>
      </c>
      <c r="F515" s="67">
        <f t="shared" si="82"/>
        <v>32.501677666666666</v>
      </c>
      <c r="H515" s="170">
        <f t="shared" ref="H515:P515" si="132">IF(-H172&gt;G684,0,
IF((+H344+G515+IF(H172&lt;0,H172,0))&lt;0,0,(+H344+G515+IF(H172&lt;0,H172,0))))</f>
        <v>0</v>
      </c>
      <c r="I515" s="170">
        <f t="shared" si="132"/>
        <v>0</v>
      </c>
      <c r="J515" s="170">
        <f t="shared" si="132"/>
        <v>0</v>
      </c>
      <c r="K515" s="170">
        <f t="shared" si="132"/>
        <v>0</v>
      </c>
      <c r="L515" s="170">
        <f t="shared" si="132"/>
        <v>0</v>
      </c>
      <c r="M515" s="170">
        <f t="shared" si="132"/>
        <v>0</v>
      </c>
      <c r="N515" s="170">
        <f t="shared" si="132"/>
        <v>0</v>
      </c>
      <c r="O515" s="170">
        <f t="shared" si="132"/>
        <v>0</v>
      </c>
      <c r="P515" s="170">
        <f t="shared" si="132"/>
        <v>32.501677666666666</v>
      </c>
    </row>
    <row r="516" spans="2:16" ht="13" hidden="1" outlineLevel="1" x14ac:dyDescent="0.3">
      <c r="B516" s="7"/>
      <c r="C516" s="4" t="s">
        <v>460</v>
      </c>
      <c r="D516" s="6" t="s">
        <v>322</v>
      </c>
      <c r="E516" s="6" t="s">
        <v>56</v>
      </c>
      <c r="F516" s="67">
        <f t="shared" si="82"/>
        <v>13.434681666666666</v>
      </c>
      <c r="H516" s="170">
        <f t="shared" ref="H516:P516" si="133">IF(-H173&gt;G685,0,
IF((+H345+G516+IF(H173&lt;0,H173,0))&lt;0,0,(+H345+G516+IF(H173&lt;0,H173,0))))</f>
        <v>0</v>
      </c>
      <c r="I516" s="170">
        <f t="shared" si="133"/>
        <v>0</v>
      </c>
      <c r="J516" s="170">
        <f t="shared" si="133"/>
        <v>0</v>
      </c>
      <c r="K516" s="170">
        <f t="shared" si="133"/>
        <v>0</v>
      </c>
      <c r="L516" s="170">
        <f t="shared" si="133"/>
        <v>0</v>
      </c>
      <c r="M516" s="170">
        <f t="shared" si="133"/>
        <v>0</v>
      </c>
      <c r="N516" s="170">
        <f t="shared" si="133"/>
        <v>0</v>
      </c>
      <c r="O516" s="170">
        <f t="shared" si="133"/>
        <v>0</v>
      </c>
      <c r="P516" s="170">
        <f t="shared" si="133"/>
        <v>13.434681666666666</v>
      </c>
    </row>
    <row r="517" spans="2:16" ht="13" hidden="1" outlineLevel="1" x14ac:dyDescent="0.3">
      <c r="B517" s="7"/>
      <c r="C517" s="4" t="s">
        <v>461</v>
      </c>
      <c r="D517" s="6" t="s">
        <v>322</v>
      </c>
      <c r="E517" s="6" t="s">
        <v>56</v>
      </c>
      <c r="F517" s="67">
        <f t="shared" si="82"/>
        <v>2.8178266666666665</v>
      </c>
      <c r="H517" s="170">
        <f t="shared" ref="H517:P517" si="134">IF(-H174&gt;G686,0,
IF((+H346+G517+IF(H174&lt;0,H174,0))&lt;0,0,(+H346+G517+IF(H174&lt;0,H174,0))))</f>
        <v>0</v>
      </c>
      <c r="I517" s="170">
        <f t="shared" si="134"/>
        <v>0</v>
      </c>
      <c r="J517" s="170">
        <f t="shared" si="134"/>
        <v>0</v>
      </c>
      <c r="K517" s="170">
        <f t="shared" si="134"/>
        <v>0</v>
      </c>
      <c r="L517" s="170">
        <f t="shared" si="134"/>
        <v>0</v>
      </c>
      <c r="M517" s="170">
        <f t="shared" si="134"/>
        <v>0</v>
      </c>
      <c r="N517" s="170">
        <f t="shared" si="134"/>
        <v>0</v>
      </c>
      <c r="O517" s="170">
        <f t="shared" si="134"/>
        <v>0</v>
      </c>
      <c r="P517" s="170">
        <f t="shared" si="134"/>
        <v>2.8178266666666665</v>
      </c>
    </row>
    <row r="518" spans="2:16" ht="13" hidden="1" outlineLevel="1" x14ac:dyDescent="0.3">
      <c r="B518" s="7"/>
      <c r="C518" s="4" t="s">
        <v>462</v>
      </c>
      <c r="D518" s="6" t="s">
        <v>322</v>
      </c>
      <c r="E518" s="6" t="s">
        <v>56</v>
      </c>
      <c r="F518" s="67">
        <f t="shared" si="82"/>
        <v>8734.3136212432819</v>
      </c>
      <c r="H518" s="170">
        <f t="shared" ref="H518:P518" si="135">IF(-H175&gt;G687,0,
IF((+H347+G518+IF(H175&lt;0,H175,0))&lt;0,0,(+H347+G518+IF(H175&lt;0,H175,0))))</f>
        <v>0.39988888888888879</v>
      </c>
      <c r="I518" s="170">
        <f t="shared" si="135"/>
        <v>15.652807117189267</v>
      </c>
      <c r="J518" s="170">
        <f t="shared" si="135"/>
        <v>277.5840960059997</v>
      </c>
      <c r="K518" s="170">
        <f t="shared" si="135"/>
        <v>1358.8738907281438</v>
      </c>
      <c r="L518" s="170">
        <f t="shared" si="135"/>
        <v>2512.4750199731297</v>
      </c>
      <c r="M518" s="170">
        <f t="shared" si="135"/>
        <v>3617.7874743632647</v>
      </c>
      <c r="N518" s="170">
        <f t="shared" si="135"/>
        <v>0</v>
      </c>
      <c r="O518" s="170">
        <f t="shared" si="135"/>
        <v>381.30978638888894</v>
      </c>
      <c r="P518" s="170">
        <f t="shared" si="135"/>
        <v>570.23065777777788</v>
      </c>
    </row>
    <row r="519" spans="2:16" collapsed="1" x14ac:dyDescent="0.25"/>
    <row r="520" spans="2:16" ht="13" x14ac:dyDescent="0.3">
      <c r="B520" s="3" t="s">
        <v>128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2" spans="2:16" ht="13" x14ac:dyDescent="0.3">
      <c r="B522" s="14" t="str">
        <f>+B182</f>
        <v>Stock inicial</v>
      </c>
    </row>
    <row r="523" spans="2:16" ht="13" hidden="1" outlineLevel="1" x14ac:dyDescent="0.3">
      <c r="B523" s="14"/>
      <c r="C523" s="13" t="str">
        <f t="shared" ref="C523:C524" si="136">+C183</f>
        <v>Infraestructura y obras</v>
      </c>
      <c r="D523" s="12" t="s">
        <v>41</v>
      </c>
      <c r="E523" s="12" t="s">
        <v>56</v>
      </c>
      <c r="F523" s="69">
        <f t="shared" ref="F523:F524" si="137">+SUM(H523:P523)</f>
        <v>234302.00857500001</v>
      </c>
      <c r="H523" s="67">
        <f t="shared" ref="H523:P523" si="138">IF(H11+G523-(H354-G354)&lt;0,0,H11+G523-(H354-G354))</f>
        <v>30103.949708333334</v>
      </c>
      <c r="I523" s="67">
        <f t="shared" si="138"/>
        <v>29086.351408333332</v>
      </c>
      <c r="J523" s="67">
        <f t="shared" si="138"/>
        <v>28068.753108333331</v>
      </c>
      <c r="K523" s="67">
        <f t="shared" si="138"/>
        <v>27051.154808333333</v>
      </c>
      <c r="L523" s="67">
        <f t="shared" si="138"/>
        <v>26033.556508333335</v>
      </c>
      <c r="M523" s="67">
        <f t="shared" si="138"/>
        <v>25015.958208333337</v>
      </c>
      <c r="N523" s="67">
        <f t="shared" si="138"/>
        <v>23998.359908333339</v>
      </c>
      <c r="O523" s="67">
        <f t="shared" si="138"/>
        <v>22980.761608333341</v>
      </c>
      <c r="P523" s="67">
        <f t="shared" si="138"/>
        <v>21963.163308333344</v>
      </c>
    </row>
    <row r="524" spans="2:16" hidden="1" outlineLevel="1" x14ac:dyDescent="0.25">
      <c r="C524" s="13" t="str">
        <f t="shared" si="136"/>
        <v>Equipamiento</v>
      </c>
      <c r="D524" s="12" t="s">
        <v>41</v>
      </c>
      <c r="E524" s="12" t="s">
        <v>56</v>
      </c>
      <c r="F524" s="69">
        <f t="shared" si="137"/>
        <v>139598.61547499997</v>
      </c>
      <c r="H524" s="67">
        <f t="shared" ref="H524:P524" si="139">IF(H12+G524-(H355-G355)&lt;0,0,H12+G524-(H355-G355))</f>
        <v>26623.284875000001</v>
      </c>
      <c r="I524" s="67">
        <f t="shared" si="139"/>
        <v>23845.202975</v>
      </c>
      <c r="J524" s="67">
        <f t="shared" si="139"/>
        <v>21067.121074999999</v>
      </c>
      <c r="K524" s="67">
        <f t="shared" si="139"/>
        <v>18289.039174999998</v>
      </c>
      <c r="L524" s="67">
        <f t="shared" si="139"/>
        <v>15510.957274999997</v>
      </c>
      <c r="M524" s="67">
        <f t="shared" si="139"/>
        <v>12732.875374999996</v>
      </c>
      <c r="N524" s="67">
        <f t="shared" si="139"/>
        <v>9954.7934749999949</v>
      </c>
      <c r="O524" s="67">
        <f t="shared" si="139"/>
        <v>7176.7115749999939</v>
      </c>
      <c r="P524" s="67">
        <f t="shared" si="139"/>
        <v>4398.6296749999929</v>
      </c>
    </row>
    <row r="525" spans="2:16" collapsed="1" x14ac:dyDescent="0.25">
      <c r="H525" s="8"/>
      <c r="I525" s="8"/>
      <c r="J525" s="8"/>
      <c r="K525" s="8"/>
      <c r="L525" s="8"/>
      <c r="M525" s="8"/>
      <c r="N525" s="8"/>
      <c r="O525" s="8"/>
      <c r="P525" s="8"/>
    </row>
    <row r="526" spans="2:16" ht="13" x14ac:dyDescent="0.3">
      <c r="B526" s="14" t="str">
        <f>+B186</f>
        <v>Activos fijos (infraestructura - IPMC)</v>
      </c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2:16" hidden="1" outlineLevel="1" x14ac:dyDescent="0.25">
      <c r="C527" s="13" t="str">
        <f>+C187</f>
        <v>Pozo a tierra</v>
      </c>
      <c r="D527" s="12" t="s">
        <v>41</v>
      </c>
      <c r="E527" s="12" t="s">
        <v>56</v>
      </c>
      <c r="F527" s="69">
        <f t="shared" ref="F527:F534" si="140">+SUM(H527:P527)</f>
        <v>20.217055103158366</v>
      </c>
      <c r="G527" s="13"/>
      <c r="H527" s="67">
        <f t="shared" ref="H527:P527" si="141">IF(-H15&gt;G527,0,
IF(H15+G527-(H358-G358)&lt;0,0,H15+G527-(H358-G358)))</f>
        <v>0</v>
      </c>
      <c r="I527" s="67">
        <f t="shared" si="141"/>
        <v>5.100347975314051</v>
      </c>
      <c r="J527" s="67">
        <f t="shared" si="141"/>
        <v>4.3629520191028002</v>
      </c>
      <c r="K527" s="67">
        <f t="shared" si="141"/>
        <v>3.6255516866513013</v>
      </c>
      <c r="L527" s="67">
        <f t="shared" si="141"/>
        <v>2.8881513541998021</v>
      </c>
      <c r="M527" s="67">
        <f t="shared" si="141"/>
        <v>2.1507510217483028</v>
      </c>
      <c r="N527" s="67">
        <f t="shared" si="141"/>
        <v>1.4133506892968035</v>
      </c>
      <c r="O527" s="67">
        <f t="shared" si="141"/>
        <v>0.67595035684530425</v>
      </c>
      <c r="P527" s="67">
        <f t="shared" si="141"/>
        <v>0</v>
      </c>
    </row>
    <row r="528" spans="2:16" hidden="1" outlineLevel="1" x14ac:dyDescent="0.25">
      <c r="C528" s="13" t="str">
        <f t="shared" ref="C528:C534" si="142">+C188</f>
        <v>Pozo a tierra - Muelle 4</v>
      </c>
      <c r="D528" s="12" t="s">
        <v>41</v>
      </c>
      <c r="E528" s="12" t="s">
        <v>56</v>
      </c>
      <c r="F528" s="69">
        <f t="shared" si="140"/>
        <v>17.629194852031205</v>
      </c>
      <c r="G528" s="13"/>
      <c r="H528" s="67">
        <f t="shared" ref="H528:P528" si="143">IF(-H16&gt;G528,0,
IF(H16+G528-(H359-G359)&lt;0,0,H16+G528-(H359-G359)))</f>
        <v>0</v>
      </c>
      <c r="I528" s="67">
        <f t="shared" si="143"/>
        <v>2.5126993399014688</v>
      </c>
      <c r="J528" s="67">
        <f t="shared" si="143"/>
        <v>2.4243993446450207</v>
      </c>
      <c r="K528" s="67">
        <f t="shared" si="143"/>
        <v>2.3360993493885727</v>
      </c>
      <c r="L528" s="67">
        <f t="shared" si="143"/>
        <v>2.2477993541321246</v>
      </c>
      <c r="M528" s="67">
        <f t="shared" si="143"/>
        <v>2.1594993588756766</v>
      </c>
      <c r="N528" s="67">
        <f t="shared" si="143"/>
        <v>2.0711993636192285</v>
      </c>
      <c r="O528" s="67">
        <f t="shared" si="143"/>
        <v>1.9828993683627805</v>
      </c>
      <c r="P528" s="67">
        <f t="shared" si="143"/>
        <v>1.8945993731063324</v>
      </c>
    </row>
    <row r="529" spans="2:16" hidden="1" outlineLevel="1" x14ac:dyDescent="0.25">
      <c r="C529" s="13" t="str">
        <f t="shared" si="142"/>
        <v>Dragado Muelle 7</v>
      </c>
      <c r="D529" s="12" t="s">
        <v>41</v>
      </c>
      <c r="E529" s="12" t="s">
        <v>56</v>
      </c>
      <c r="F529" s="69">
        <f t="shared" si="140"/>
        <v>1578.6072222086189</v>
      </c>
      <c r="G529" s="13"/>
      <c r="H529" s="67">
        <f t="shared" ref="H529:P529" si="144">IF(-H17&gt;G529,0,
IF(H17+G529-(H360-G360)&lt;0,0,H17+G529-(H360-G360)))</f>
        <v>0</v>
      </c>
      <c r="I529" s="67">
        <f t="shared" si="144"/>
        <v>0</v>
      </c>
      <c r="J529" s="67">
        <f t="shared" si="144"/>
        <v>253.25480981880509</v>
      </c>
      <c r="K529" s="67">
        <f t="shared" si="144"/>
        <v>244.00831236532809</v>
      </c>
      <c r="L529" s="67">
        <f t="shared" si="144"/>
        <v>234.7618149118511</v>
      </c>
      <c r="M529" s="67">
        <f t="shared" si="144"/>
        <v>225.51531745837411</v>
      </c>
      <c r="N529" s="67">
        <f t="shared" si="144"/>
        <v>216.26882000489712</v>
      </c>
      <c r="O529" s="67">
        <f t="shared" si="144"/>
        <v>207.02232255142013</v>
      </c>
      <c r="P529" s="67">
        <f t="shared" si="144"/>
        <v>197.77582509794314</v>
      </c>
    </row>
    <row r="530" spans="2:16" hidden="1" outlineLevel="1" x14ac:dyDescent="0.25">
      <c r="C530" s="13" t="str">
        <f t="shared" si="142"/>
        <v>Labarthe</v>
      </c>
      <c r="D530" s="12" t="s">
        <v>41</v>
      </c>
      <c r="E530" s="12" t="s">
        <v>56</v>
      </c>
      <c r="F530" s="69">
        <f t="shared" si="140"/>
        <v>23.06190476190476</v>
      </c>
      <c r="G530" s="13"/>
      <c r="H530" s="67">
        <f t="shared" ref="H530:P530" si="145">IF(-H18&gt;G530,0,
IF(H18+G530-(H361-G361)&lt;0,0,H18+G530-(H361-G361)))</f>
        <v>0</v>
      </c>
      <c r="I530" s="67">
        <f t="shared" si="145"/>
        <v>0</v>
      </c>
      <c r="J530" s="67">
        <f t="shared" si="145"/>
        <v>0</v>
      </c>
      <c r="K530" s="67">
        <f t="shared" si="145"/>
        <v>0</v>
      </c>
      <c r="L530" s="67">
        <f t="shared" si="145"/>
        <v>0</v>
      </c>
      <c r="M530" s="67">
        <f t="shared" si="145"/>
        <v>7.5547619047619046</v>
      </c>
      <c r="N530" s="67">
        <f t="shared" si="145"/>
        <v>6.3619047619047615</v>
      </c>
      <c r="O530" s="67">
        <f t="shared" si="145"/>
        <v>5.1690476190476184</v>
      </c>
      <c r="P530" s="67">
        <f t="shared" si="145"/>
        <v>3.9761904761904758</v>
      </c>
    </row>
    <row r="531" spans="2:16" hidden="1" outlineLevel="1" x14ac:dyDescent="0.25">
      <c r="C531" s="13" t="str">
        <f t="shared" si="142"/>
        <v>Instalación (ventanas, persianas, pisos, alfombras, baños y similares)</v>
      </c>
      <c r="D531" s="12" t="s">
        <v>41</v>
      </c>
      <c r="E531" s="12" t="s">
        <v>56</v>
      </c>
      <c r="F531" s="69">
        <f t="shared" si="140"/>
        <v>902.36725648191623</v>
      </c>
      <c r="G531" s="13"/>
      <c r="H531" s="67">
        <f t="shared" ref="H531:O531" si="146">IF(-H19&gt;G531,0,
IF(H19+G531-(H362-G362)&lt;0,0,H19+G531-(H362-G362)))</f>
        <v>56.267043497432518</v>
      </c>
      <c r="I531" s="67">
        <f t="shared" si="146"/>
        <v>84.670330284654938</v>
      </c>
      <c r="J531" s="67">
        <f t="shared" si="146"/>
        <v>190.10961353392179</v>
      </c>
      <c r="K531" s="67">
        <f t="shared" si="146"/>
        <v>164.80603421066616</v>
      </c>
      <c r="L531" s="67">
        <f t="shared" si="146"/>
        <v>139.50358750645816</v>
      </c>
      <c r="M531" s="67">
        <f t="shared" si="146"/>
        <v>114.20114080225017</v>
      </c>
      <c r="N531" s="67">
        <f t="shared" si="146"/>
        <v>88.898694098042171</v>
      </c>
      <c r="O531" s="67">
        <f t="shared" si="146"/>
        <v>63.910812548490441</v>
      </c>
      <c r="P531" s="67">
        <f>IF(-P19&gt;O531,0,
IF(P19+O531-(P362-O362)&lt;0,0,P19+O531-(P362-O362)))</f>
        <v>0</v>
      </c>
    </row>
    <row r="532" spans="2:16" hidden="1" outlineLevel="1" x14ac:dyDescent="0.25">
      <c r="C532" s="13" t="str">
        <f t="shared" si="142"/>
        <v>Instalación (casetas, cercos, enmallado, zanjas, cableado, drywal y otros)</v>
      </c>
      <c r="D532" s="12" t="s">
        <v>41</v>
      </c>
      <c r="E532" s="12" t="s">
        <v>56</v>
      </c>
      <c r="F532" s="69">
        <f t="shared" si="140"/>
        <v>6396.5778306372449</v>
      </c>
      <c r="G532" s="13"/>
      <c r="H532" s="67">
        <f t="shared" ref="H532:P532" si="147">IF(-H20&gt;G532,0,
IF(H20+G532-(H363-G363)&lt;0,0,H20+G532-(H363-G363)))</f>
        <v>228.11991550080828</v>
      </c>
      <c r="I532" s="67">
        <f t="shared" si="147"/>
        <v>885.41280301801169</v>
      </c>
      <c r="J532" s="67">
        <f t="shared" si="147"/>
        <v>1124.6206085736517</v>
      </c>
      <c r="K532" s="67">
        <f t="shared" si="147"/>
        <v>1059.3855985636719</v>
      </c>
      <c r="L532" s="67">
        <f t="shared" si="147"/>
        <v>932.03522321877153</v>
      </c>
      <c r="M532" s="67">
        <f t="shared" si="147"/>
        <v>768.90123081037916</v>
      </c>
      <c r="N532" s="67">
        <f t="shared" si="147"/>
        <v>606.38381155551724</v>
      </c>
      <c r="O532" s="67">
        <f t="shared" si="147"/>
        <v>445.54847801842675</v>
      </c>
      <c r="P532" s="67">
        <f t="shared" si="147"/>
        <v>346.17016137800601</v>
      </c>
    </row>
    <row r="533" spans="2:16" hidden="1" outlineLevel="1" x14ac:dyDescent="0.25">
      <c r="C533" s="13" t="str">
        <f t="shared" si="142"/>
        <v>Implementación Sala Servidores</v>
      </c>
      <c r="D533" s="12" t="s">
        <v>41</v>
      </c>
      <c r="E533" s="12" t="s">
        <v>56</v>
      </c>
      <c r="F533" s="69">
        <f t="shared" si="140"/>
        <v>67.985722500000051</v>
      </c>
      <c r="G533" s="13"/>
      <c r="H533" s="67">
        <f t="shared" ref="H533:P533" si="148">IF(-H21&gt;G533,0,
IF(H21+G533-(H364-G364)&lt;0,0,H21+G533-(H364-G364)))</f>
        <v>0</v>
      </c>
      <c r="I533" s="67">
        <f t="shared" si="148"/>
        <v>47.620520416666665</v>
      </c>
      <c r="J533" s="67">
        <f t="shared" si="148"/>
        <v>14.006035416666663</v>
      </c>
      <c r="K533" s="67">
        <f t="shared" si="148"/>
        <v>0</v>
      </c>
      <c r="L533" s="67">
        <f t="shared" si="148"/>
        <v>0</v>
      </c>
      <c r="M533" s="67">
        <f t="shared" si="148"/>
        <v>4.0763888888888955</v>
      </c>
      <c r="N533" s="67">
        <f t="shared" si="148"/>
        <v>2.1197222222222321</v>
      </c>
      <c r="O533" s="67">
        <f t="shared" si="148"/>
        <v>0.16305555555556861</v>
      </c>
      <c r="P533" s="67">
        <f t="shared" si="148"/>
        <v>9.7699626167013776E-15</v>
      </c>
    </row>
    <row r="534" spans="2:16" ht="13" hidden="1" outlineLevel="1" x14ac:dyDescent="0.3">
      <c r="C534" s="13" t="str">
        <f t="shared" si="142"/>
        <v>Muelles y bitas (refacción y señalización)</v>
      </c>
      <c r="D534" s="12" t="s">
        <v>41</v>
      </c>
      <c r="E534" s="12" t="s">
        <v>56</v>
      </c>
      <c r="F534" s="69">
        <f t="shared" si="140"/>
        <v>5133.1373751502015</v>
      </c>
      <c r="G534" s="14"/>
      <c r="H534" s="67">
        <f t="shared" ref="H534:P534" si="149">IF(-H22&gt;G534,0,
IF(H22+G534-(H365-G365)&lt;0,0,H22+G534-(H365-G365)))</f>
        <v>189.00256055125357</v>
      </c>
      <c r="I534" s="67">
        <f t="shared" si="149"/>
        <v>333.73220142063616</v>
      </c>
      <c r="J534" s="67">
        <f t="shared" si="149"/>
        <v>459.30361659536862</v>
      </c>
      <c r="K534" s="67">
        <f t="shared" si="149"/>
        <v>518.47888680728306</v>
      </c>
      <c r="L534" s="67">
        <f t="shared" si="149"/>
        <v>842.61388440610222</v>
      </c>
      <c r="M534" s="67">
        <f t="shared" si="149"/>
        <v>818.31059345134997</v>
      </c>
      <c r="N534" s="67">
        <f t="shared" si="149"/>
        <v>737.4163501156454</v>
      </c>
      <c r="O534" s="67">
        <f t="shared" si="149"/>
        <v>656.52210677994071</v>
      </c>
      <c r="P534" s="67">
        <f t="shared" si="149"/>
        <v>577.75717502262194</v>
      </c>
    </row>
    <row r="535" spans="2:16" collapsed="1" x14ac:dyDescent="0.25">
      <c r="C535" s="13"/>
      <c r="D535" s="12"/>
      <c r="E535" s="12"/>
      <c r="F535" s="69"/>
      <c r="G535" s="13"/>
      <c r="H535" s="67"/>
      <c r="I535" s="67"/>
      <c r="J535" s="67"/>
      <c r="K535" s="67"/>
      <c r="L535" s="67"/>
      <c r="M535" s="67"/>
      <c r="N535" s="67"/>
      <c r="O535" s="67"/>
      <c r="P535" s="67"/>
    </row>
    <row r="536" spans="2:16" ht="13" x14ac:dyDescent="0.3">
      <c r="B536" s="14" t="str">
        <f>+B196</f>
        <v>Activos fijos (equipos - IPME)</v>
      </c>
      <c r="C536" s="13"/>
      <c r="D536" s="13"/>
      <c r="E536" s="12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2:16" ht="13" hidden="1" outlineLevel="1" x14ac:dyDescent="0.3">
      <c r="B537" s="14"/>
      <c r="C537" s="13" t="str">
        <f t="shared" ref="C537:C600" si="150">+C197</f>
        <v>Accesorios fijos para maquinaria</v>
      </c>
      <c r="D537" s="12" t="s">
        <v>41</v>
      </c>
      <c r="E537" s="12" t="s">
        <v>56</v>
      </c>
      <c r="F537" s="69">
        <f t="shared" ref="F537:F563" si="151">+SUM(H537:P537)</f>
        <v>639.10436642857155</v>
      </c>
      <c r="G537" s="14"/>
      <c r="H537" s="67">
        <f t="shared" ref="H537:P552" si="152">IF(-H25&gt;G537,0,
IF(H25+G537-(H368-G368)&lt;0,0,H25+G537-(H368-G368)))</f>
        <v>0</v>
      </c>
      <c r="I537" s="67">
        <f t="shared" si="152"/>
        <v>0</v>
      </c>
      <c r="J537" s="67">
        <f t="shared" si="152"/>
        <v>128.25647142857144</v>
      </c>
      <c r="K537" s="67">
        <f t="shared" si="152"/>
        <v>129.26039702380953</v>
      </c>
      <c r="L537" s="67">
        <f t="shared" si="152"/>
        <v>106.60658988095238</v>
      </c>
      <c r="M537" s="67">
        <f t="shared" si="152"/>
        <v>87.667961309523818</v>
      </c>
      <c r="N537" s="67">
        <f t="shared" si="152"/>
        <v>89.979511309523815</v>
      </c>
      <c r="O537" s="67">
        <f t="shared" si="152"/>
        <v>62.510704166666685</v>
      </c>
      <c r="P537" s="67">
        <f t="shared" si="152"/>
        <v>34.822731309523832</v>
      </c>
    </row>
    <row r="538" spans="2:16" ht="13" hidden="1" outlineLevel="1" x14ac:dyDescent="0.3">
      <c r="B538" s="14"/>
      <c r="C538" s="13" t="str">
        <f t="shared" si="150"/>
        <v>Camionetas</v>
      </c>
      <c r="D538" s="12" t="s">
        <v>41</v>
      </c>
      <c r="E538" s="12" t="s">
        <v>56</v>
      </c>
      <c r="F538" s="69">
        <f t="shared" si="151"/>
        <v>2053.7198829797171</v>
      </c>
      <c r="G538" s="14"/>
      <c r="H538" s="67">
        <f t="shared" si="152"/>
        <v>565.74926260141501</v>
      </c>
      <c r="I538" s="67">
        <f t="shared" si="152"/>
        <v>498.33026599038612</v>
      </c>
      <c r="J538" s="67">
        <f t="shared" si="152"/>
        <v>448.08172888642258</v>
      </c>
      <c r="K538" s="67">
        <f t="shared" si="152"/>
        <v>303.2309297579842</v>
      </c>
      <c r="L538" s="67">
        <f t="shared" si="152"/>
        <v>159.15696775798421</v>
      </c>
      <c r="M538" s="67">
        <f t="shared" si="152"/>
        <v>79.170727985524948</v>
      </c>
      <c r="N538" s="67">
        <f t="shared" si="152"/>
        <v>0</v>
      </c>
      <c r="O538" s="67">
        <f t="shared" si="152"/>
        <v>0</v>
      </c>
      <c r="P538" s="67">
        <f t="shared" si="152"/>
        <v>0</v>
      </c>
    </row>
    <row r="539" spans="2:16" ht="13" hidden="1" outlineLevel="1" x14ac:dyDescent="0.3">
      <c r="B539" s="14"/>
      <c r="C539" s="13" t="str">
        <f t="shared" si="150"/>
        <v>Vehiculo incendio</v>
      </c>
      <c r="D539" s="12" t="s">
        <v>41</v>
      </c>
      <c r="E539" s="12" t="s">
        <v>56</v>
      </c>
      <c r="F539" s="69">
        <f t="shared" si="151"/>
        <v>1427.4094824727727</v>
      </c>
      <c r="G539" s="14"/>
      <c r="H539" s="67">
        <f t="shared" si="152"/>
        <v>483.4583774823916</v>
      </c>
      <c r="I539" s="67">
        <f t="shared" si="152"/>
        <v>387.58302596965694</v>
      </c>
      <c r="J539" s="67">
        <f t="shared" si="152"/>
        <v>286.51952834024132</v>
      </c>
      <c r="K539" s="67">
        <f t="shared" si="152"/>
        <v>185.45602634024129</v>
      </c>
      <c r="L539" s="67">
        <f t="shared" si="152"/>
        <v>84.392524340241266</v>
      </c>
      <c r="M539" s="67">
        <f t="shared" si="152"/>
        <v>0</v>
      </c>
      <c r="N539" s="67">
        <f t="shared" si="152"/>
        <v>0</v>
      </c>
      <c r="O539" s="67">
        <f t="shared" si="152"/>
        <v>0</v>
      </c>
      <c r="P539" s="67">
        <f t="shared" si="152"/>
        <v>0</v>
      </c>
    </row>
    <row r="540" spans="2:16" ht="13" hidden="1" outlineLevel="1" x14ac:dyDescent="0.3">
      <c r="B540" s="14"/>
      <c r="C540" s="13" t="str">
        <f t="shared" si="150"/>
        <v>Tractor</v>
      </c>
      <c r="D540" s="12" t="s">
        <v>41</v>
      </c>
      <c r="E540" s="12" t="s">
        <v>56</v>
      </c>
      <c r="F540" s="69">
        <f t="shared" si="151"/>
        <v>19.329872455381061</v>
      </c>
      <c r="G540" s="14"/>
      <c r="H540" s="67">
        <f t="shared" si="152"/>
        <v>6.5469538296992411</v>
      </c>
      <c r="I540" s="67">
        <f t="shared" si="152"/>
        <v>5.2486176564204552</v>
      </c>
      <c r="J540" s="67">
        <f t="shared" si="152"/>
        <v>3.8800256564204552</v>
      </c>
      <c r="K540" s="67">
        <f t="shared" si="152"/>
        <v>2.5114336564204547</v>
      </c>
      <c r="L540" s="67">
        <f t="shared" si="152"/>
        <v>1.1428416564204551</v>
      </c>
      <c r="M540" s="67">
        <f t="shared" si="152"/>
        <v>0</v>
      </c>
      <c r="N540" s="67">
        <f t="shared" si="152"/>
        <v>0</v>
      </c>
      <c r="O540" s="67">
        <f t="shared" si="152"/>
        <v>0</v>
      </c>
      <c r="P540" s="67">
        <f t="shared" si="152"/>
        <v>0</v>
      </c>
    </row>
    <row r="541" spans="2:16" ht="13" hidden="1" outlineLevel="1" x14ac:dyDescent="0.3">
      <c r="B541" s="14"/>
      <c r="C541" s="13" t="str">
        <f t="shared" si="150"/>
        <v>Camión</v>
      </c>
      <c r="D541" s="12" t="s">
        <v>41</v>
      </c>
      <c r="E541" s="12" t="s">
        <v>56</v>
      </c>
      <c r="F541" s="69">
        <f t="shared" si="151"/>
        <v>52.943318326908248</v>
      </c>
      <c r="G541" s="14"/>
      <c r="H541" s="67">
        <f t="shared" si="152"/>
        <v>0</v>
      </c>
      <c r="I541" s="67">
        <f t="shared" si="152"/>
        <v>17.647771040863532</v>
      </c>
      <c r="J541" s="67">
        <f t="shared" si="152"/>
        <v>14.118217040863533</v>
      </c>
      <c r="K541" s="67">
        <f t="shared" si="152"/>
        <v>10.588663040863533</v>
      </c>
      <c r="L541" s="67">
        <f t="shared" si="152"/>
        <v>7.0591090408635324</v>
      </c>
      <c r="M541" s="67">
        <f t="shared" si="152"/>
        <v>3.5295550408635314</v>
      </c>
      <c r="N541" s="67">
        <f t="shared" si="152"/>
        <v>1.0408635304770542E-6</v>
      </c>
      <c r="O541" s="67">
        <f t="shared" si="152"/>
        <v>1.0408635304770542E-6</v>
      </c>
      <c r="P541" s="67">
        <f t="shared" si="152"/>
        <v>1.0408635304770542E-6</v>
      </c>
    </row>
    <row r="542" spans="2:16" ht="13" hidden="1" outlineLevel="1" x14ac:dyDescent="0.3">
      <c r="B542" s="14"/>
      <c r="C542" s="13" t="str">
        <f t="shared" si="150"/>
        <v>Camión cisterna</v>
      </c>
      <c r="D542" s="12" t="s">
        <v>41</v>
      </c>
      <c r="E542" s="12" t="s">
        <v>56</v>
      </c>
      <c r="F542" s="69">
        <f t="shared" si="151"/>
        <v>133.45485999999997</v>
      </c>
      <c r="G542" s="14"/>
      <c r="H542" s="67">
        <f t="shared" si="152"/>
        <v>0</v>
      </c>
      <c r="I542" s="67">
        <f t="shared" si="152"/>
        <v>0</v>
      </c>
      <c r="J542" s="67">
        <f t="shared" si="152"/>
        <v>0</v>
      </c>
      <c r="K542" s="67">
        <f t="shared" si="152"/>
        <v>0</v>
      </c>
      <c r="L542" s="67">
        <f t="shared" si="152"/>
        <v>0</v>
      </c>
      <c r="M542" s="67">
        <f t="shared" si="152"/>
        <v>50.522196999999998</v>
      </c>
      <c r="N542" s="67">
        <f t="shared" si="152"/>
        <v>39.083208999999997</v>
      </c>
      <c r="O542" s="67">
        <f t="shared" si="152"/>
        <v>27.644220999999995</v>
      </c>
      <c r="P542" s="67">
        <f t="shared" si="152"/>
        <v>16.205232999999989</v>
      </c>
    </row>
    <row r="543" spans="2:16" ht="13" hidden="1" outlineLevel="1" x14ac:dyDescent="0.3">
      <c r="B543" s="14"/>
      <c r="C543" s="13" t="str">
        <f t="shared" si="150"/>
        <v>Equipos de cómputo</v>
      </c>
      <c r="D543" s="12" t="s">
        <v>41</v>
      </c>
      <c r="E543" s="12" t="s">
        <v>56</v>
      </c>
      <c r="F543" s="69">
        <f t="shared" si="151"/>
        <v>3241.9175742963953</v>
      </c>
      <c r="G543" s="14"/>
      <c r="H543" s="67">
        <f t="shared" si="152"/>
        <v>228.09984281167775</v>
      </c>
      <c r="I543" s="67">
        <f t="shared" si="152"/>
        <v>241.72808739944293</v>
      </c>
      <c r="J543" s="67">
        <f t="shared" si="152"/>
        <v>147.60027159787734</v>
      </c>
      <c r="K543" s="67">
        <f t="shared" si="152"/>
        <v>67.222079547569109</v>
      </c>
      <c r="L543" s="67">
        <f t="shared" si="152"/>
        <v>165.61979646098087</v>
      </c>
      <c r="M543" s="67">
        <f t="shared" si="152"/>
        <v>305.46667673875993</v>
      </c>
      <c r="N543" s="67">
        <f t="shared" si="152"/>
        <v>911.87095507209619</v>
      </c>
      <c r="O543" s="67">
        <f t="shared" si="152"/>
        <v>632.2699359054285</v>
      </c>
      <c r="P543" s="67">
        <f t="shared" si="152"/>
        <v>542.03992876256234</v>
      </c>
    </row>
    <row r="544" spans="2:16" ht="13" hidden="1" outlineLevel="1" x14ac:dyDescent="0.3">
      <c r="B544" s="14"/>
      <c r="C544" s="13" t="str">
        <f t="shared" si="150"/>
        <v>Motor bomba grúa</v>
      </c>
      <c r="D544" s="12" t="s">
        <v>41</v>
      </c>
      <c r="E544" s="12" t="s">
        <v>56</v>
      </c>
      <c r="F544" s="69">
        <f t="shared" si="151"/>
        <v>887.14197583333339</v>
      </c>
      <c r="G544" s="14"/>
      <c r="H544" s="67">
        <f t="shared" si="152"/>
        <v>0</v>
      </c>
      <c r="I544" s="67">
        <f t="shared" si="152"/>
        <v>0</v>
      </c>
      <c r="J544" s="67">
        <f t="shared" si="152"/>
        <v>238.01370083333336</v>
      </c>
      <c r="K544" s="67">
        <f t="shared" si="152"/>
        <v>200.92065654761907</v>
      </c>
      <c r="L544" s="67">
        <f t="shared" si="152"/>
        <v>163.82761226190479</v>
      </c>
      <c r="M544" s="67">
        <f t="shared" si="152"/>
        <v>126.7345679761905</v>
      </c>
      <c r="N544" s="67">
        <f t="shared" si="152"/>
        <v>89.64152369047622</v>
      </c>
      <c r="O544" s="67">
        <f t="shared" si="152"/>
        <v>52.548479404761935</v>
      </c>
      <c r="P544" s="67">
        <f t="shared" si="152"/>
        <v>15.45543511904765</v>
      </c>
    </row>
    <row r="545" spans="2:16" ht="13" hidden="1" outlineLevel="1" x14ac:dyDescent="0.3">
      <c r="B545" s="14"/>
      <c r="C545" s="13" t="str">
        <f t="shared" si="150"/>
        <v>RTG (equipo soporte IT)</v>
      </c>
      <c r="D545" s="12" t="s">
        <v>41</v>
      </c>
      <c r="E545" s="12" t="s">
        <v>56</v>
      </c>
      <c r="F545" s="69">
        <f t="shared" si="151"/>
        <v>1.6405866666666671</v>
      </c>
      <c r="G545" s="14"/>
      <c r="H545" s="67">
        <f t="shared" si="152"/>
        <v>0</v>
      </c>
      <c r="I545" s="67">
        <f t="shared" si="152"/>
        <v>0.89224888888888909</v>
      </c>
      <c r="J545" s="67">
        <f t="shared" si="152"/>
        <v>0.54686222222222236</v>
      </c>
      <c r="K545" s="67">
        <f t="shared" si="152"/>
        <v>0.20147555555555563</v>
      </c>
      <c r="L545" s="67">
        <f t="shared" si="152"/>
        <v>0</v>
      </c>
      <c r="M545" s="67">
        <f t="shared" si="152"/>
        <v>0</v>
      </c>
      <c r="N545" s="67">
        <f t="shared" si="152"/>
        <v>0</v>
      </c>
      <c r="O545" s="67">
        <f t="shared" si="152"/>
        <v>0</v>
      </c>
      <c r="P545" s="67">
        <f t="shared" si="152"/>
        <v>0</v>
      </c>
    </row>
    <row r="546" spans="2:16" ht="13" hidden="1" outlineLevel="1" x14ac:dyDescent="0.3">
      <c r="B546" s="14"/>
      <c r="C546" s="13" t="str">
        <f t="shared" si="150"/>
        <v>Reach stacker (equipo soporte IT)</v>
      </c>
      <c r="D546" s="12" t="s">
        <v>41</v>
      </c>
      <c r="E546" s="12" t="s">
        <v>56</v>
      </c>
      <c r="F546" s="69">
        <f t="shared" si="151"/>
        <v>114.3353472222222</v>
      </c>
      <c r="G546" s="14"/>
      <c r="H546" s="67">
        <f t="shared" si="152"/>
        <v>0</v>
      </c>
      <c r="I546" s="67">
        <f t="shared" si="152"/>
        <v>70.887915277777765</v>
      </c>
      <c r="J546" s="67">
        <f t="shared" si="152"/>
        <v>43.447431944444439</v>
      </c>
      <c r="K546" s="67">
        <f t="shared" si="152"/>
        <v>0</v>
      </c>
      <c r="L546" s="67">
        <f t="shared" si="152"/>
        <v>0</v>
      </c>
      <c r="M546" s="67">
        <f t="shared" si="152"/>
        <v>0</v>
      </c>
      <c r="N546" s="67">
        <f t="shared" si="152"/>
        <v>0</v>
      </c>
      <c r="O546" s="67">
        <f t="shared" si="152"/>
        <v>0</v>
      </c>
      <c r="P546" s="67">
        <f t="shared" si="152"/>
        <v>0</v>
      </c>
    </row>
    <row r="547" spans="2:16" ht="13" hidden="1" outlineLevel="1" x14ac:dyDescent="0.3">
      <c r="B547" s="14"/>
      <c r="C547" s="13" t="str">
        <f t="shared" si="150"/>
        <v>Bote inspección</v>
      </c>
      <c r="D547" s="12" t="s">
        <v>41</v>
      </c>
      <c r="E547" s="12" t="s">
        <v>56</v>
      </c>
      <c r="F547" s="69">
        <f t="shared" si="151"/>
        <v>11.963833333333337</v>
      </c>
      <c r="G547" s="14"/>
      <c r="H547" s="67">
        <f t="shared" si="152"/>
        <v>0</v>
      </c>
      <c r="I547" s="67">
        <f t="shared" si="152"/>
        <v>3.0466904761904763</v>
      </c>
      <c r="J547" s="67">
        <f t="shared" si="152"/>
        <v>2.6008333333333336</v>
      </c>
      <c r="K547" s="67">
        <f t="shared" si="152"/>
        <v>2.1549761904761908</v>
      </c>
      <c r="L547" s="67">
        <f t="shared" si="152"/>
        <v>1.7091190476190481</v>
      </c>
      <c r="M547" s="67">
        <f t="shared" si="152"/>
        <v>1.2632619047619054</v>
      </c>
      <c r="N547" s="67">
        <f t="shared" si="152"/>
        <v>0.81740476190476263</v>
      </c>
      <c r="O547" s="67">
        <f t="shared" si="152"/>
        <v>0.3715476190476199</v>
      </c>
      <c r="P547" s="67">
        <f t="shared" si="152"/>
        <v>4.4408920985006262E-16</v>
      </c>
    </row>
    <row r="548" spans="2:16" ht="13" hidden="1" outlineLevel="1" x14ac:dyDescent="0.3">
      <c r="B548" s="14"/>
      <c r="C548" s="13" t="str">
        <f t="shared" si="150"/>
        <v>Cuchara y tolvas</v>
      </c>
      <c r="D548" s="12" t="s">
        <v>41</v>
      </c>
      <c r="E548" s="12" t="s">
        <v>56</v>
      </c>
      <c r="F548" s="69">
        <f t="shared" si="151"/>
        <v>1834.0001666666672</v>
      </c>
      <c r="G548" s="14"/>
      <c r="H548" s="67">
        <f t="shared" si="152"/>
        <v>0</v>
      </c>
      <c r="I548" s="67">
        <f t="shared" si="152"/>
        <v>0</v>
      </c>
      <c r="J548" s="67">
        <f t="shared" si="152"/>
        <v>497.80004523809527</v>
      </c>
      <c r="K548" s="67">
        <f t="shared" si="152"/>
        <v>419.20003809523814</v>
      </c>
      <c r="L548" s="67">
        <f t="shared" si="152"/>
        <v>340.60003095238102</v>
      </c>
      <c r="M548" s="67">
        <f t="shared" si="152"/>
        <v>262.0000238095239</v>
      </c>
      <c r="N548" s="67">
        <f t="shared" si="152"/>
        <v>183.40001666666677</v>
      </c>
      <c r="O548" s="67">
        <f t="shared" si="152"/>
        <v>104.80000952380965</v>
      </c>
      <c r="P548" s="67">
        <f t="shared" si="152"/>
        <v>26.200002380952469</v>
      </c>
    </row>
    <row r="549" spans="2:16" ht="13" hidden="1" outlineLevel="1" x14ac:dyDescent="0.3">
      <c r="B549" s="14"/>
      <c r="C549" s="13" t="str">
        <f t="shared" si="150"/>
        <v>Equipo descarga pescado</v>
      </c>
      <c r="D549" s="12" t="s">
        <v>41</v>
      </c>
      <c r="E549" s="12" t="s">
        <v>56</v>
      </c>
      <c r="F549" s="69">
        <f t="shared" si="151"/>
        <v>692.16473571428583</v>
      </c>
      <c r="G549" s="14"/>
      <c r="H549" s="67">
        <f t="shared" si="152"/>
        <v>0</v>
      </c>
      <c r="I549" s="67">
        <f t="shared" si="152"/>
        <v>0</v>
      </c>
      <c r="J549" s="67">
        <f t="shared" si="152"/>
        <v>0</v>
      </c>
      <c r="K549" s="67">
        <f t="shared" si="152"/>
        <v>178.51798214285716</v>
      </c>
      <c r="L549" s="67">
        <f t="shared" si="152"/>
        <v>149.95510500000003</v>
      </c>
      <c r="M549" s="67">
        <f t="shared" si="152"/>
        <v>137.81722785714288</v>
      </c>
      <c r="N549" s="67">
        <f t="shared" si="152"/>
        <v>106.55435071428573</v>
      </c>
      <c r="O549" s="67">
        <f t="shared" si="152"/>
        <v>75.291473571428583</v>
      </c>
      <c r="P549" s="67">
        <f t="shared" si="152"/>
        <v>44.028596428571433</v>
      </c>
    </row>
    <row r="550" spans="2:16" ht="13" hidden="1" outlineLevel="1" x14ac:dyDescent="0.3">
      <c r="B550" s="14"/>
      <c r="C550" s="13" t="str">
        <f t="shared" si="150"/>
        <v>Spreader (MHC)</v>
      </c>
      <c r="D550" s="12" t="s">
        <v>41</v>
      </c>
      <c r="E550" s="12" t="s">
        <v>56</v>
      </c>
      <c r="F550" s="69">
        <f t="shared" si="151"/>
        <v>503.03007000000019</v>
      </c>
      <c r="G550" s="14"/>
      <c r="H550" s="67">
        <f t="shared" si="152"/>
        <v>0</v>
      </c>
      <c r="I550" s="67">
        <f t="shared" si="152"/>
        <v>0</v>
      </c>
      <c r="J550" s="67">
        <f t="shared" si="152"/>
        <v>0</v>
      </c>
      <c r="K550" s="67">
        <f t="shared" si="152"/>
        <v>143.72287714285716</v>
      </c>
      <c r="L550" s="67">
        <f t="shared" si="152"/>
        <v>119.76906428571431</v>
      </c>
      <c r="M550" s="67">
        <f t="shared" si="152"/>
        <v>95.815251428571443</v>
      </c>
      <c r="N550" s="67">
        <f t="shared" si="152"/>
        <v>71.861438571428593</v>
      </c>
      <c r="O550" s="67">
        <f t="shared" si="152"/>
        <v>47.907625714285743</v>
      </c>
      <c r="P550" s="67">
        <f t="shared" si="152"/>
        <v>23.953812857142893</v>
      </c>
    </row>
    <row r="551" spans="2:16" ht="13" hidden="1" outlineLevel="1" x14ac:dyDescent="0.3">
      <c r="B551" s="14"/>
      <c r="C551" s="13" t="str">
        <f t="shared" si="150"/>
        <v>Apilador</v>
      </c>
      <c r="D551" s="12" t="s">
        <v>41</v>
      </c>
      <c r="E551" s="12" t="s">
        <v>56</v>
      </c>
      <c r="F551" s="69">
        <f t="shared" si="151"/>
        <v>63.969950476190462</v>
      </c>
      <c r="G551" s="14"/>
      <c r="H551" s="67">
        <f t="shared" si="152"/>
        <v>0</v>
      </c>
      <c r="I551" s="67">
        <f t="shared" si="152"/>
        <v>0</v>
      </c>
      <c r="J551" s="67">
        <f t="shared" si="152"/>
        <v>0</v>
      </c>
      <c r="K551" s="67">
        <f t="shared" si="152"/>
        <v>0</v>
      </c>
      <c r="L551" s="67">
        <f t="shared" si="152"/>
        <v>0</v>
      </c>
      <c r="M551" s="67">
        <f t="shared" si="152"/>
        <v>20.490374761904761</v>
      </c>
      <c r="N551" s="67">
        <f t="shared" si="152"/>
        <v>17.491783333333331</v>
      </c>
      <c r="O551" s="67">
        <f t="shared" si="152"/>
        <v>14.493191904761902</v>
      </c>
      <c r="P551" s="67">
        <f t="shared" si="152"/>
        <v>11.494600476190474</v>
      </c>
    </row>
    <row r="552" spans="2:16" ht="13" hidden="1" outlineLevel="1" x14ac:dyDescent="0.3">
      <c r="B552" s="14"/>
      <c r="C552" s="13" t="str">
        <f t="shared" si="150"/>
        <v>Reach stacker (overhaul)</v>
      </c>
      <c r="D552" s="12" t="s">
        <v>41</v>
      </c>
      <c r="E552" s="12" t="s">
        <v>56</v>
      </c>
      <c r="F552" s="69">
        <f t="shared" si="151"/>
        <v>42.390480000000011</v>
      </c>
      <c r="G552" s="14"/>
      <c r="H552" s="67">
        <f t="shared" si="152"/>
        <v>0</v>
      </c>
      <c r="I552" s="67">
        <f t="shared" si="152"/>
        <v>0</v>
      </c>
      <c r="J552" s="67">
        <f t="shared" si="152"/>
        <v>0</v>
      </c>
      <c r="K552" s="67">
        <f t="shared" si="152"/>
        <v>0</v>
      </c>
      <c r="L552" s="67">
        <f t="shared" si="152"/>
        <v>0</v>
      </c>
      <c r="M552" s="67">
        <f t="shared" si="152"/>
        <v>19.2684</v>
      </c>
      <c r="N552" s="67">
        <f t="shared" si="152"/>
        <v>13.487880000000001</v>
      </c>
      <c r="O552" s="67">
        <f t="shared" si="152"/>
        <v>7.7073600000000013</v>
      </c>
      <c r="P552" s="67">
        <f t="shared" si="152"/>
        <v>1.9268400000000021</v>
      </c>
    </row>
    <row r="553" spans="2:16" ht="13" hidden="1" outlineLevel="1" x14ac:dyDescent="0.3">
      <c r="B553" s="14"/>
      <c r="C553" s="13" t="str">
        <f t="shared" si="150"/>
        <v>Terminal tractor (overhaul)</v>
      </c>
      <c r="D553" s="12" t="s">
        <v>41</v>
      </c>
      <c r="E553" s="12" t="s">
        <v>56</v>
      </c>
      <c r="F553" s="69">
        <f t="shared" si="151"/>
        <v>208.60078749999997</v>
      </c>
      <c r="G553" s="14"/>
      <c r="H553" s="67">
        <f t="shared" ref="H553:P563" si="153">IF(-H41&gt;G553,0,
IF(H41+G553-(H384-G384)&lt;0,0,H41+G553-(H384-G384)))</f>
        <v>0</v>
      </c>
      <c r="I553" s="67">
        <f t="shared" si="153"/>
        <v>0</v>
      </c>
      <c r="J553" s="67">
        <f t="shared" si="153"/>
        <v>0</v>
      </c>
      <c r="K553" s="67">
        <f t="shared" si="153"/>
        <v>0</v>
      </c>
      <c r="L553" s="67">
        <f t="shared" si="153"/>
        <v>0</v>
      </c>
      <c r="M553" s="67">
        <f t="shared" si="153"/>
        <v>89.909959375</v>
      </c>
      <c r="N553" s="67">
        <f t="shared" si="153"/>
        <v>64.736784374999999</v>
      </c>
      <c r="O553" s="67">
        <f t="shared" si="153"/>
        <v>39.563609374999999</v>
      </c>
      <c r="P553" s="67">
        <f t="shared" si="153"/>
        <v>14.390434374999998</v>
      </c>
    </row>
    <row r="554" spans="2:16" ht="13" hidden="1" outlineLevel="1" x14ac:dyDescent="0.3">
      <c r="B554" s="14"/>
      <c r="C554" s="13" t="str">
        <f t="shared" si="150"/>
        <v>Trailer para spreaders</v>
      </c>
      <c r="D554" s="12" t="s">
        <v>41</v>
      </c>
      <c r="E554" s="12" t="s">
        <v>56</v>
      </c>
      <c r="F554" s="69">
        <f t="shared" si="151"/>
        <v>65.650723809523811</v>
      </c>
      <c r="G554" s="14"/>
      <c r="H554" s="67">
        <f t="shared" si="153"/>
        <v>0</v>
      </c>
      <c r="I554" s="67">
        <f t="shared" si="153"/>
        <v>0</v>
      </c>
      <c r="J554" s="67">
        <f t="shared" si="153"/>
        <v>0</v>
      </c>
      <c r="K554" s="67">
        <f t="shared" si="153"/>
        <v>0</v>
      </c>
      <c r="L554" s="67">
        <f t="shared" si="153"/>
        <v>0</v>
      </c>
      <c r="M554" s="67">
        <f t="shared" si="153"/>
        <v>21.78410380952381</v>
      </c>
      <c r="N554" s="67">
        <f t="shared" si="153"/>
        <v>18.203155238095238</v>
      </c>
      <c r="O554" s="67">
        <f t="shared" si="153"/>
        <v>14.622206666666667</v>
      </c>
      <c r="P554" s="67">
        <f t="shared" si="153"/>
        <v>11.041258095238096</v>
      </c>
    </row>
    <row r="555" spans="2:16" ht="13" hidden="1" outlineLevel="1" x14ac:dyDescent="0.3">
      <c r="B555" s="14"/>
      <c r="C555" s="13" t="str">
        <f t="shared" si="150"/>
        <v>Escaner y detectores</v>
      </c>
      <c r="D555" s="12" t="s">
        <v>41</v>
      </c>
      <c r="E555" s="12" t="s">
        <v>56</v>
      </c>
      <c r="F555" s="69">
        <f t="shared" si="151"/>
        <v>114.97903928571429</v>
      </c>
      <c r="G555" s="14"/>
      <c r="H555" s="67">
        <f t="shared" si="153"/>
        <v>0</v>
      </c>
      <c r="I555" s="67">
        <f t="shared" si="153"/>
        <v>0</v>
      </c>
      <c r="J555" s="67">
        <f t="shared" si="153"/>
        <v>0</v>
      </c>
      <c r="K555" s="67">
        <f t="shared" si="153"/>
        <v>0</v>
      </c>
      <c r="L555" s="67">
        <f t="shared" si="153"/>
        <v>0</v>
      </c>
      <c r="M555" s="67">
        <f t="shared" si="153"/>
        <v>0</v>
      </c>
      <c r="N555" s="67">
        <f t="shared" si="153"/>
        <v>45.469967857142855</v>
      </c>
      <c r="O555" s="67">
        <f t="shared" si="153"/>
        <v>38.326346428571426</v>
      </c>
      <c r="P555" s="67">
        <f t="shared" si="153"/>
        <v>31.182724999999998</v>
      </c>
    </row>
    <row r="556" spans="2:16" ht="13" hidden="1" outlineLevel="1" x14ac:dyDescent="0.3">
      <c r="B556" s="14"/>
      <c r="C556" s="13" t="str">
        <f t="shared" si="150"/>
        <v>Over height frame</v>
      </c>
      <c r="D556" s="12" t="s">
        <v>41</v>
      </c>
      <c r="E556" s="12" t="s">
        <v>56</v>
      </c>
      <c r="F556" s="69">
        <f t="shared" si="151"/>
        <v>56.347243333333338</v>
      </c>
      <c r="G556" s="14"/>
      <c r="H556" s="67">
        <f t="shared" si="153"/>
        <v>0</v>
      </c>
      <c r="I556" s="67">
        <f t="shared" si="153"/>
        <v>0</v>
      </c>
      <c r="J556" s="67">
        <f t="shared" si="153"/>
        <v>0</v>
      </c>
      <c r="K556" s="67">
        <f t="shared" si="153"/>
        <v>0</v>
      </c>
      <c r="L556" s="67">
        <f t="shared" si="153"/>
        <v>0</v>
      </c>
      <c r="M556" s="67">
        <f t="shared" si="153"/>
        <v>0</v>
      </c>
      <c r="N556" s="67">
        <f t="shared" si="153"/>
        <v>0</v>
      </c>
      <c r="O556" s="67">
        <f t="shared" si="153"/>
        <v>0</v>
      </c>
      <c r="P556" s="67">
        <f t="shared" si="153"/>
        <v>56.347243333333338</v>
      </c>
    </row>
    <row r="557" spans="2:16" ht="13" hidden="1" outlineLevel="1" x14ac:dyDescent="0.3">
      <c r="B557" s="14"/>
      <c r="C557" s="13" t="str">
        <f t="shared" si="150"/>
        <v>Muebles y enseres</v>
      </c>
      <c r="D557" s="12" t="s">
        <v>41</v>
      </c>
      <c r="E557" s="12" t="s">
        <v>56</v>
      </c>
      <c r="F557" s="69">
        <f t="shared" si="151"/>
        <v>2321.3419184239151</v>
      </c>
      <c r="G557" s="14"/>
      <c r="H557" s="67">
        <f t="shared" si="153"/>
        <v>427.6919630009528</v>
      </c>
      <c r="I557" s="67">
        <f t="shared" si="153"/>
        <v>504.8442115410607</v>
      </c>
      <c r="J557" s="67">
        <f t="shared" si="153"/>
        <v>478.66276211795474</v>
      </c>
      <c r="K557" s="67">
        <f t="shared" si="153"/>
        <v>385.52154462598173</v>
      </c>
      <c r="L557" s="67">
        <f t="shared" si="153"/>
        <v>293.70550694512474</v>
      </c>
      <c r="M557" s="67">
        <f t="shared" si="153"/>
        <v>230.91593019284034</v>
      </c>
      <c r="N557" s="67">
        <f t="shared" si="153"/>
        <v>0</v>
      </c>
      <c r="O557" s="67">
        <f t="shared" si="153"/>
        <v>0</v>
      </c>
      <c r="P557" s="67">
        <f t="shared" si="153"/>
        <v>0</v>
      </c>
    </row>
    <row r="558" spans="2:16" ht="13" hidden="1" outlineLevel="1" x14ac:dyDescent="0.3">
      <c r="B558" s="14"/>
      <c r="C558" s="13" t="str">
        <f t="shared" si="150"/>
        <v>Equipos diversos</v>
      </c>
      <c r="D558" s="12" t="s">
        <v>41</v>
      </c>
      <c r="E558" s="12" t="s">
        <v>56</v>
      </c>
      <c r="F558" s="69">
        <f t="shared" si="151"/>
        <v>4168.8563850132023</v>
      </c>
      <c r="G558" s="14"/>
      <c r="H558" s="67">
        <f>IF(-H46&gt;G558,0,
IF(H46+G558-(H389-G389)&lt;0,0,H46+G558-(H389-G389)))</f>
        <v>980.74056879723128</v>
      </c>
      <c r="I558" s="67">
        <f>IF(-I46&gt;H558,0,
IF(I46+H558-(I389-H389)&lt;0,0,I46+H558-(I389-H389)))</f>
        <v>1227.8212878848224</v>
      </c>
      <c r="J558" s="67">
        <f t="shared" si="153"/>
        <v>955.11063282557848</v>
      </c>
      <c r="K558" s="67">
        <f t="shared" si="153"/>
        <v>498.07674797452341</v>
      </c>
      <c r="L558" s="67">
        <f t="shared" si="153"/>
        <v>359.59537703057345</v>
      </c>
      <c r="M558" s="67">
        <f t="shared" si="153"/>
        <v>113.85332378812666</v>
      </c>
      <c r="N558" s="67">
        <f t="shared" si="153"/>
        <v>33.65844671234629</v>
      </c>
      <c r="O558" s="67">
        <f t="shared" si="153"/>
        <v>0</v>
      </c>
      <c r="P558" s="67">
        <f t="shared" si="153"/>
        <v>0</v>
      </c>
    </row>
    <row r="559" spans="2:16" ht="13" hidden="1" outlineLevel="1" x14ac:dyDescent="0.3">
      <c r="B559" s="14"/>
      <c r="C559" s="13" t="str">
        <f t="shared" si="150"/>
        <v>Terminal Tractor</v>
      </c>
      <c r="D559" s="12" t="s">
        <v>41</v>
      </c>
      <c r="E559" s="12" t="s">
        <v>56</v>
      </c>
      <c r="F559" s="69">
        <f t="shared" si="151"/>
        <v>148.16797386722163</v>
      </c>
      <c r="G559" s="14"/>
      <c r="H559" s="67">
        <f t="shared" si="153"/>
        <v>37.379832567998257</v>
      </c>
      <c r="I559" s="67">
        <f t="shared" si="153"/>
        <v>32.653878440361432</v>
      </c>
      <c r="J559" s="67">
        <f t="shared" si="153"/>
        <v>26.897561647493283</v>
      </c>
      <c r="K559" s="67">
        <f t="shared" si="153"/>
        <v>21.141243298384765</v>
      </c>
      <c r="L559" s="67">
        <f t="shared" si="153"/>
        <v>15.503516615942914</v>
      </c>
      <c r="M559" s="67">
        <f t="shared" si="153"/>
        <v>10.031818266834396</v>
      </c>
      <c r="N559" s="67">
        <f t="shared" si="153"/>
        <v>4.5601199177258813</v>
      </c>
      <c r="O559" s="67">
        <f t="shared" si="153"/>
        <v>1.5562403667956914E-6</v>
      </c>
      <c r="P559" s="67">
        <f t="shared" si="153"/>
        <v>1.5562403667956914E-6</v>
      </c>
    </row>
    <row r="560" spans="2:16" ht="13" hidden="1" outlineLevel="1" x14ac:dyDescent="0.3">
      <c r="B560" s="14"/>
      <c r="C560" s="13" t="str">
        <f t="shared" si="150"/>
        <v>Montacargas</v>
      </c>
      <c r="D560" s="12" t="s">
        <v>41</v>
      </c>
      <c r="E560" s="12" t="s">
        <v>56</v>
      </c>
      <c r="F560" s="69">
        <f t="shared" si="151"/>
        <v>2641.9839352530353</v>
      </c>
      <c r="G560" s="14"/>
      <c r="H560" s="67">
        <f t="shared" si="153"/>
        <v>18.612989701605269</v>
      </c>
      <c r="I560" s="67">
        <f t="shared" si="153"/>
        <v>14.925149002597866</v>
      </c>
      <c r="J560" s="67">
        <f t="shared" si="153"/>
        <v>665.73597439420178</v>
      </c>
      <c r="K560" s="67">
        <f t="shared" si="153"/>
        <v>566.80237973724684</v>
      </c>
      <c r="L560" s="67">
        <f t="shared" si="153"/>
        <v>467.8687850802919</v>
      </c>
      <c r="M560" s="67">
        <f t="shared" si="153"/>
        <v>369.57368861998731</v>
      </c>
      <c r="N560" s="67">
        <f t="shared" si="153"/>
        <v>274.53100576284442</v>
      </c>
      <c r="O560" s="67">
        <f t="shared" si="153"/>
        <v>179.48832290570152</v>
      </c>
      <c r="P560" s="67">
        <f t="shared" si="153"/>
        <v>84.445640048558687</v>
      </c>
    </row>
    <row r="561" spans="2:16" ht="13" hidden="1" outlineLevel="1" x14ac:dyDescent="0.3">
      <c r="B561" s="14"/>
      <c r="C561" s="13" t="str">
        <f t="shared" si="150"/>
        <v>STS Spreader</v>
      </c>
      <c r="D561" s="12" t="s">
        <v>41</v>
      </c>
      <c r="E561" s="12" t="s">
        <v>56</v>
      </c>
      <c r="F561" s="69">
        <f t="shared" si="151"/>
        <v>1210.757870463309</v>
      </c>
      <c r="G561" s="14"/>
      <c r="H561" s="67">
        <f t="shared" si="153"/>
        <v>22.489212718772837</v>
      </c>
      <c r="I561" s="67">
        <f t="shared" si="153"/>
        <v>153.67840923561403</v>
      </c>
      <c r="J561" s="67">
        <f t="shared" si="153"/>
        <v>127.99948399751879</v>
      </c>
      <c r="K561" s="67">
        <f t="shared" si="153"/>
        <v>275.76991419593145</v>
      </c>
      <c r="L561" s="67">
        <f t="shared" si="153"/>
        <v>227.1006116562489</v>
      </c>
      <c r="M561" s="67">
        <f t="shared" si="153"/>
        <v>175.05792022767747</v>
      </c>
      <c r="N561" s="67">
        <f t="shared" si="153"/>
        <v>123.01522879910604</v>
      </c>
      <c r="O561" s="67">
        <f t="shared" si="153"/>
        <v>71.247537370534616</v>
      </c>
      <c r="P561" s="67">
        <f t="shared" si="153"/>
        <v>34.399552261904745</v>
      </c>
    </row>
    <row r="562" spans="2:16" ht="13" hidden="1" outlineLevel="1" x14ac:dyDescent="0.3">
      <c r="B562" s="14"/>
      <c r="C562" s="13" t="str">
        <f t="shared" si="150"/>
        <v>Equipos menores</v>
      </c>
      <c r="D562" s="12" t="s">
        <v>41</v>
      </c>
      <c r="E562" s="12" t="s">
        <v>56</v>
      </c>
      <c r="F562" s="69">
        <f t="shared" si="151"/>
        <v>1607.1665745760681</v>
      </c>
      <c r="G562" s="14"/>
      <c r="H562" s="67">
        <f t="shared" si="153"/>
        <v>9.832741501673123</v>
      </c>
      <c r="I562" s="67">
        <f t="shared" si="153"/>
        <v>82.654246067880962</v>
      </c>
      <c r="J562" s="67">
        <f t="shared" si="153"/>
        <v>288.99566970643451</v>
      </c>
      <c r="K562" s="67">
        <f t="shared" si="153"/>
        <v>256.26914479210564</v>
      </c>
      <c r="L562" s="67">
        <f t="shared" si="153"/>
        <v>271.51325773491965</v>
      </c>
      <c r="M562" s="67">
        <f t="shared" si="153"/>
        <v>231.39485029678124</v>
      </c>
      <c r="N562" s="67">
        <f t="shared" si="153"/>
        <v>191.2839865253095</v>
      </c>
      <c r="O562" s="67">
        <f t="shared" si="153"/>
        <v>154.80074858717109</v>
      </c>
      <c r="P562" s="67">
        <f t="shared" si="153"/>
        <v>120.42192936379246</v>
      </c>
    </row>
    <row r="563" spans="2:16" ht="13" hidden="1" outlineLevel="1" x14ac:dyDescent="0.3">
      <c r="B563" s="14"/>
      <c r="C563" s="13" t="str">
        <f t="shared" si="150"/>
        <v>Sistema seguridad maquinaria</v>
      </c>
      <c r="D563" s="12" t="s">
        <v>41</v>
      </c>
      <c r="E563" s="12" t="s">
        <v>56</v>
      </c>
      <c r="F563" s="69">
        <f t="shared" si="151"/>
        <v>1189.0635281309524</v>
      </c>
      <c r="G563" s="14"/>
      <c r="H563" s="67">
        <f t="shared" si="153"/>
        <v>0</v>
      </c>
      <c r="I563" s="67">
        <f t="shared" si="153"/>
        <v>0</v>
      </c>
      <c r="J563" s="67">
        <f t="shared" si="153"/>
        <v>295.04520333333335</v>
      </c>
      <c r="K563" s="67">
        <f t="shared" si="153"/>
        <v>298.06795124999996</v>
      </c>
      <c r="L563" s="67">
        <f t="shared" si="153"/>
        <v>239.59681524999996</v>
      </c>
      <c r="M563" s="67">
        <f t="shared" si="153"/>
        <v>356.35355829761903</v>
      </c>
      <c r="N563" s="67">
        <f t="shared" si="153"/>
        <v>0</v>
      </c>
      <c r="O563" s="67">
        <f t="shared" si="153"/>
        <v>0</v>
      </c>
      <c r="P563" s="67">
        <f t="shared" si="153"/>
        <v>0</v>
      </c>
    </row>
    <row r="564" spans="2:16" ht="13" collapsed="1" x14ac:dyDescent="0.3">
      <c r="B564" s="14"/>
      <c r="C564" s="13"/>
      <c r="D564" s="13"/>
      <c r="E564" s="12"/>
      <c r="F564" s="13"/>
      <c r="G564" s="13"/>
      <c r="H564" s="170"/>
      <c r="I564" s="170"/>
      <c r="J564" s="170"/>
      <c r="K564" s="170"/>
      <c r="L564" s="170"/>
      <c r="M564" s="170"/>
      <c r="N564" s="170"/>
      <c r="O564" s="170"/>
      <c r="P564" s="170"/>
    </row>
    <row r="565" spans="2:16" ht="13" x14ac:dyDescent="0.3">
      <c r="B565" s="14" t="str">
        <f>+B225</f>
        <v>Intangibles (infraestructura - IPMC)</v>
      </c>
      <c r="C565" s="13"/>
      <c r="D565" s="13"/>
      <c r="E565" s="12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2:16" ht="13" hidden="1" outlineLevel="1" x14ac:dyDescent="0.3">
      <c r="B566" s="14"/>
      <c r="C566" s="13" t="str">
        <f t="shared" si="150"/>
        <v xml:space="preserve">Muelle 5 </v>
      </c>
      <c r="D566" s="12" t="s">
        <v>41</v>
      </c>
      <c r="E566" s="12" t="s">
        <v>56</v>
      </c>
      <c r="F566" s="69">
        <f t="shared" ref="F566:F627" si="154">+SUM(H566:P566)</f>
        <v>310445.26746604516</v>
      </c>
      <c r="G566" s="14"/>
      <c r="H566" s="67">
        <f t="shared" ref="H566:P581" si="155">IF(-H54&gt;G566,0,
IF(H54+G566-(H397-G397)&lt;0,0,H54+G566-(H397-G397)))</f>
        <v>0</v>
      </c>
      <c r="I566" s="67">
        <f t="shared" si="155"/>
        <v>0</v>
      </c>
      <c r="J566" s="67">
        <f t="shared" si="155"/>
        <v>0</v>
      </c>
      <c r="K566" s="67">
        <f t="shared" si="155"/>
        <v>0</v>
      </c>
      <c r="L566" s="67">
        <f t="shared" si="155"/>
        <v>67274.347711032693</v>
      </c>
      <c r="M566" s="67">
        <f t="shared" si="155"/>
        <v>64681.700602120858</v>
      </c>
      <c r="N566" s="67">
        <f t="shared" si="155"/>
        <v>62089.05349320903</v>
      </c>
      <c r="O566" s="67">
        <f t="shared" si="155"/>
        <v>59496.406384297203</v>
      </c>
      <c r="P566" s="67">
        <f t="shared" si="155"/>
        <v>56903.759275385375</v>
      </c>
    </row>
    <row r="567" spans="2:16" ht="13" hidden="1" outlineLevel="1" x14ac:dyDescent="0.3">
      <c r="B567" s="14"/>
      <c r="C567" s="13" t="str">
        <f t="shared" si="150"/>
        <v>Muelle 5 y área de respaldo</v>
      </c>
      <c r="D567" s="12" t="s">
        <v>41</v>
      </c>
      <c r="E567" s="12" t="s">
        <v>56</v>
      </c>
      <c r="F567" s="69">
        <f t="shared" si="154"/>
        <v>211449.8094224167</v>
      </c>
      <c r="G567" s="14"/>
      <c r="H567" s="67">
        <f t="shared" si="155"/>
        <v>0</v>
      </c>
      <c r="I567" s="67">
        <f t="shared" si="155"/>
        <v>0</v>
      </c>
      <c r="J567" s="67">
        <f t="shared" si="155"/>
        <v>0</v>
      </c>
      <c r="K567" s="67">
        <f t="shared" si="155"/>
        <v>0</v>
      </c>
      <c r="L567" s="67">
        <f t="shared" si="155"/>
        <v>0</v>
      </c>
      <c r="M567" s="67">
        <f t="shared" si="155"/>
        <v>56322.161</v>
      </c>
      <c r="N567" s="67">
        <f t="shared" si="155"/>
        <v>54015.688570402781</v>
      </c>
      <c r="O567" s="67">
        <f t="shared" si="155"/>
        <v>51709.216140805562</v>
      </c>
      <c r="P567" s="67">
        <f t="shared" si="155"/>
        <v>49402.743711208343</v>
      </c>
    </row>
    <row r="568" spans="2:16" ht="13" hidden="1" outlineLevel="1" x14ac:dyDescent="0.3">
      <c r="B568" s="14"/>
      <c r="C568" s="13" t="str">
        <f t="shared" si="150"/>
        <v>Muelle 5 (dragado) - Entrega 1</v>
      </c>
      <c r="D568" s="12" t="s">
        <v>41</v>
      </c>
      <c r="E568" s="12" t="s">
        <v>56</v>
      </c>
      <c r="F568" s="69">
        <f t="shared" si="154"/>
        <v>23015.417392937779</v>
      </c>
      <c r="G568" s="14"/>
      <c r="H568" s="67">
        <f t="shared" si="155"/>
        <v>0</v>
      </c>
      <c r="I568" s="67">
        <f t="shared" si="155"/>
        <v>0</v>
      </c>
      <c r="J568" s="67">
        <f t="shared" si="155"/>
        <v>0</v>
      </c>
      <c r="K568" s="67">
        <f t="shared" si="155"/>
        <v>0</v>
      </c>
      <c r="L568" s="67">
        <f t="shared" si="155"/>
        <v>4996.0914538746092</v>
      </c>
      <c r="M568" s="67">
        <f t="shared" si="155"/>
        <v>4799.5874662310825</v>
      </c>
      <c r="N568" s="67">
        <f t="shared" si="155"/>
        <v>4603.0834785875559</v>
      </c>
      <c r="O568" s="67">
        <f t="shared" si="155"/>
        <v>4406.5794909440292</v>
      </c>
      <c r="P568" s="67">
        <f t="shared" si="155"/>
        <v>4210.0755033005025</v>
      </c>
    </row>
    <row r="569" spans="2:16" ht="13" hidden="1" outlineLevel="1" x14ac:dyDescent="0.3">
      <c r="B569" s="14"/>
      <c r="C569" s="13" t="str">
        <f t="shared" si="150"/>
        <v>Muelle 5 (dragado) - Entrega 2</v>
      </c>
      <c r="D569" s="12" t="s">
        <v>41</v>
      </c>
      <c r="E569" s="12" t="s">
        <v>56</v>
      </c>
      <c r="F569" s="69">
        <f t="shared" si="154"/>
        <v>42485.7187892898</v>
      </c>
      <c r="G569" s="14"/>
      <c r="H569" s="67">
        <f t="shared" si="155"/>
        <v>0</v>
      </c>
      <c r="I569" s="67">
        <f t="shared" si="155"/>
        <v>0</v>
      </c>
      <c r="J569" s="67">
        <f t="shared" si="155"/>
        <v>0</v>
      </c>
      <c r="K569" s="67">
        <f t="shared" si="155"/>
        <v>0</v>
      </c>
      <c r="L569" s="67">
        <f t="shared" si="155"/>
        <v>0</v>
      </c>
      <c r="M569" s="67">
        <f t="shared" si="155"/>
        <v>11316.574369999998</v>
      </c>
      <c r="N569" s="67">
        <f t="shared" si="155"/>
        <v>10853.144588214966</v>
      </c>
      <c r="O569" s="67">
        <f t="shared" si="155"/>
        <v>10389.714806429933</v>
      </c>
      <c r="P569" s="67">
        <f t="shared" si="155"/>
        <v>9926.2850246448997</v>
      </c>
    </row>
    <row r="570" spans="2:16" ht="13" hidden="1" outlineLevel="1" x14ac:dyDescent="0.3">
      <c r="B570" s="14"/>
      <c r="C570" s="13" t="str">
        <f t="shared" si="150"/>
        <v xml:space="preserve">Edificio administrativo </v>
      </c>
      <c r="D570" s="12" t="s">
        <v>41</v>
      </c>
      <c r="E570" s="12" t="s">
        <v>56</v>
      </c>
      <c r="F570" s="69">
        <f t="shared" si="154"/>
        <v>64479.730569340769</v>
      </c>
      <c r="G570" s="14"/>
      <c r="H570" s="67">
        <f t="shared" si="155"/>
        <v>0</v>
      </c>
      <c r="I570" s="67">
        <f t="shared" si="155"/>
        <v>0</v>
      </c>
      <c r="J570" s="67">
        <f t="shared" si="155"/>
        <v>0</v>
      </c>
      <c r="K570" s="67">
        <f t="shared" si="155"/>
        <v>0</v>
      </c>
      <c r="L570" s="67">
        <f t="shared" si="155"/>
        <v>13976.685113117468</v>
      </c>
      <c r="M570" s="67">
        <f t="shared" si="155"/>
        <v>13436.31561349281</v>
      </c>
      <c r="N570" s="67">
        <f t="shared" si="155"/>
        <v>12895.946113868154</v>
      </c>
      <c r="O570" s="67">
        <f t="shared" si="155"/>
        <v>12355.576614243499</v>
      </c>
      <c r="P570" s="67">
        <f t="shared" si="155"/>
        <v>11815.207114618843</v>
      </c>
    </row>
    <row r="571" spans="2:16" ht="13" hidden="1" outlineLevel="1" x14ac:dyDescent="0.3">
      <c r="B571" s="14"/>
      <c r="C571" s="13" t="str">
        <f t="shared" si="150"/>
        <v>Edif. Administrativo (instalación)</v>
      </c>
      <c r="D571" s="12" t="s">
        <v>41</v>
      </c>
      <c r="E571" s="12" t="s">
        <v>56</v>
      </c>
      <c r="F571" s="69">
        <f t="shared" si="154"/>
        <v>200.63916388913825</v>
      </c>
      <c r="G571" s="14"/>
      <c r="H571" s="67">
        <f t="shared" si="155"/>
        <v>0</v>
      </c>
      <c r="I571" s="67">
        <f t="shared" si="155"/>
        <v>0</v>
      </c>
      <c r="J571" s="67">
        <f t="shared" si="155"/>
        <v>0</v>
      </c>
      <c r="K571" s="67">
        <f t="shared" si="155"/>
        <v>0</v>
      </c>
      <c r="L571" s="67">
        <f t="shared" si="155"/>
        <v>0</v>
      </c>
      <c r="M571" s="67">
        <f t="shared" si="155"/>
        <v>53.443010000000001</v>
      </c>
      <c r="N571" s="67">
        <f t="shared" si="155"/>
        <v>51.254197314856377</v>
      </c>
      <c r="O571" s="67">
        <f t="shared" si="155"/>
        <v>49.065384629712753</v>
      </c>
      <c r="P571" s="67">
        <f t="shared" si="155"/>
        <v>46.876571944569129</v>
      </c>
    </row>
    <row r="572" spans="2:16" ht="13" hidden="1" outlineLevel="1" x14ac:dyDescent="0.3">
      <c r="B572" s="14"/>
      <c r="C572" s="13" t="str">
        <f t="shared" si="150"/>
        <v>Edificio administrativo (CCTV seguridad-Hardware)</v>
      </c>
      <c r="D572" s="12" t="s">
        <v>41</v>
      </c>
      <c r="E572" s="12" t="s">
        <v>56</v>
      </c>
      <c r="F572" s="69">
        <f t="shared" si="154"/>
        <v>1872.3954150000006</v>
      </c>
      <c r="G572" s="14"/>
      <c r="H572" s="67">
        <f t="shared" si="155"/>
        <v>0</v>
      </c>
      <c r="I572" s="67">
        <f t="shared" si="155"/>
        <v>0</v>
      </c>
      <c r="J572" s="67">
        <f t="shared" si="155"/>
        <v>0</v>
      </c>
      <c r="K572" s="67">
        <f t="shared" si="155"/>
        <v>0</v>
      </c>
      <c r="L572" s="67">
        <f t="shared" si="155"/>
        <v>1040.2196750000001</v>
      </c>
      <c r="M572" s="67">
        <f t="shared" si="155"/>
        <v>624.13180499999999</v>
      </c>
      <c r="N572" s="67">
        <f t="shared" si="155"/>
        <v>208.04393500000015</v>
      </c>
      <c r="O572" s="67">
        <f t="shared" si="155"/>
        <v>2.2737367544323206E-13</v>
      </c>
      <c r="P572" s="67">
        <f t="shared" si="155"/>
        <v>2.2737367544323206E-13</v>
      </c>
    </row>
    <row r="573" spans="2:16" ht="13" hidden="1" outlineLevel="1" x14ac:dyDescent="0.3">
      <c r="B573" s="14"/>
      <c r="C573" s="13" t="str">
        <f t="shared" si="150"/>
        <v>Edificio administrativo (Cableado-Hardware)</v>
      </c>
      <c r="D573" s="12" t="s">
        <v>41</v>
      </c>
      <c r="E573" s="12" t="s">
        <v>56</v>
      </c>
      <c r="F573" s="69">
        <f t="shared" si="154"/>
        <v>1116.4809250000001</v>
      </c>
      <c r="G573" s="14"/>
      <c r="H573" s="67">
        <f t="shared" si="155"/>
        <v>0</v>
      </c>
      <c r="I573" s="67">
        <f t="shared" si="155"/>
        <v>0</v>
      </c>
      <c r="J573" s="67">
        <f t="shared" si="155"/>
        <v>0</v>
      </c>
      <c r="K573" s="67">
        <f t="shared" si="155"/>
        <v>0</v>
      </c>
      <c r="L573" s="67">
        <f t="shared" si="155"/>
        <v>248.81574900000001</v>
      </c>
      <c r="M573" s="67">
        <f t="shared" si="155"/>
        <v>236.05596700000001</v>
      </c>
      <c r="N573" s="67">
        <f t="shared" si="155"/>
        <v>223.29618500000001</v>
      </c>
      <c r="O573" s="67">
        <f t="shared" si="155"/>
        <v>210.53640300000001</v>
      </c>
      <c r="P573" s="67">
        <f t="shared" si="155"/>
        <v>197.77662100000001</v>
      </c>
    </row>
    <row r="574" spans="2:16" ht="13" hidden="1" outlineLevel="1" x14ac:dyDescent="0.3">
      <c r="B574" s="14"/>
      <c r="C574" s="13" t="str">
        <f t="shared" si="150"/>
        <v>Edificio administrativo (muebles y enseres)</v>
      </c>
      <c r="D574" s="12" t="s">
        <v>41</v>
      </c>
      <c r="E574" s="12" t="s">
        <v>56</v>
      </c>
      <c r="F574" s="69">
        <f t="shared" si="154"/>
        <v>1058.8559142857146</v>
      </c>
      <c r="G574" s="14"/>
      <c r="H574" s="67">
        <f t="shared" si="155"/>
        <v>0</v>
      </c>
      <c r="I574" s="67">
        <f t="shared" si="155"/>
        <v>0</v>
      </c>
      <c r="J574" s="67">
        <f t="shared" si="155"/>
        <v>0</v>
      </c>
      <c r="K574" s="67">
        <f t="shared" si="155"/>
        <v>0</v>
      </c>
      <c r="L574" s="67">
        <f t="shared" si="155"/>
        <v>305.89170857142858</v>
      </c>
      <c r="M574" s="67">
        <f t="shared" si="155"/>
        <v>258.83144571428573</v>
      </c>
      <c r="N574" s="67">
        <f t="shared" si="155"/>
        <v>211.77118285714289</v>
      </c>
      <c r="O574" s="67">
        <f t="shared" si="155"/>
        <v>164.71092000000004</v>
      </c>
      <c r="P574" s="67">
        <f t="shared" si="155"/>
        <v>117.65065714285717</v>
      </c>
    </row>
    <row r="575" spans="2:16" ht="13" hidden="1" outlineLevel="1" x14ac:dyDescent="0.3">
      <c r="B575" s="14"/>
      <c r="C575" s="13" t="str">
        <f t="shared" si="150"/>
        <v>Muelle 11 (incluye área de respaldo)</v>
      </c>
      <c r="D575" s="12" t="s">
        <v>41</v>
      </c>
      <c r="E575" s="12" t="s">
        <v>56</v>
      </c>
      <c r="F575" s="69">
        <f t="shared" si="154"/>
        <v>204477.59804293484</v>
      </c>
      <c r="G575" s="14"/>
      <c r="H575" s="67">
        <f t="shared" si="155"/>
        <v>0</v>
      </c>
      <c r="I575" s="67">
        <f t="shared" si="155"/>
        <v>0</v>
      </c>
      <c r="J575" s="67">
        <f t="shared" si="155"/>
        <v>0</v>
      </c>
      <c r="K575" s="67">
        <f t="shared" si="155"/>
        <v>0</v>
      </c>
      <c r="L575" s="67">
        <f t="shared" si="155"/>
        <v>0</v>
      </c>
      <c r="M575" s="67">
        <f t="shared" si="155"/>
        <v>54468.299227404896</v>
      </c>
      <c r="N575" s="67">
        <f t="shared" si="155"/>
        <v>52235.699416290765</v>
      </c>
      <c r="O575" s="67">
        <f t="shared" si="155"/>
        <v>50003.099605176641</v>
      </c>
      <c r="P575" s="67">
        <f t="shared" si="155"/>
        <v>47770.499794062518</v>
      </c>
    </row>
    <row r="576" spans="2:16" ht="13" hidden="1" outlineLevel="1" x14ac:dyDescent="0.3">
      <c r="B576" s="14"/>
      <c r="C576" s="13" t="str">
        <f t="shared" si="150"/>
        <v>Muelle 11 (dragado)</v>
      </c>
      <c r="D576" s="12" t="s">
        <v>41</v>
      </c>
      <c r="E576" s="12" t="s">
        <v>56</v>
      </c>
      <c r="F576" s="69">
        <f t="shared" si="154"/>
        <v>8958.9197605241243</v>
      </c>
      <c r="G576" s="14"/>
      <c r="H576" s="67">
        <f t="shared" si="155"/>
        <v>0</v>
      </c>
      <c r="I576" s="67">
        <f t="shared" si="155"/>
        <v>0</v>
      </c>
      <c r="J576" s="67">
        <f t="shared" si="155"/>
        <v>0</v>
      </c>
      <c r="K576" s="67">
        <f t="shared" si="155"/>
        <v>0</v>
      </c>
      <c r="L576" s="67">
        <f t="shared" si="155"/>
        <v>0</v>
      </c>
      <c r="M576" s="67">
        <f t="shared" si="155"/>
        <v>2386.4576214753683</v>
      </c>
      <c r="N576" s="67">
        <f t="shared" si="155"/>
        <v>2288.6391672458103</v>
      </c>
      <c r="O576" s="67">
        <f t="shared" si="155"/>
        <v>2190.8207130162523</v>
      </c>
      <c r="P576" s="67">
        <f t="shared" si="155"/>
        <v>2093.0022587866943</v>
      </c>
    </row>
    <row r="577" spans="2:16" ht="13" hidden="1" outlineLevel="1" x14ac:dyDescent="0.3">
      <c r="B577" s="14"/>
      <c r="C577" s="13" t="str">
        <f t="shared" si="150"/>
        <v>Edificio amenidades</v>
      </c>
      <c r="D577" s="12" t="s">
        <v>41</v>
      </c>
      <c r="E577" s="12" t="s">
        <v>56</v>
      </c>
      <c r="F577" s="69">
        <f t="shared" si="154"/>
        <v>25089.122576540329</v>
      </c>
      <c r="G577" s="14"/>
      <c r="H577" s="67">
        <f t="shared" si="155"/>
        <v>0</v>
      </c>
      <c r="I577" s="67">
        <f t="shared" si="155"/>
        <v>0</v>
      </c>
      <c r="J577" s="67">
        <f t="shared" si="155"/>
        <v>0</v>
      </c>
      <c r="K577" s="67">
        <f t="shared" si="155"/>
        <v>0</v>
      </c>
      <c r="L577" s="67">
        <f t="shared" si="155"/>
        <v>0</v>
      </c>
      <c r="M577" s="67">
        <f t="shared" si="155"/>
        <v>6682.1276194995144</v>
      </c>
      <c r="N577" s="67">
        <f t="shared" si="155"/>
        <v>6408.8963025898938</v>
      </c>
      <c r="O577" s="67">
        <f t="shared" si="155"/>
        <v>6135.6649856802724</v>
      </c>
      <c r="P577" s="67">
        <f t="shared" si="155"/>
        <v>5862.4336687706509</v>
      </c>
    </row>
    <row r="578" spans="2:16" ht="13" hidden="1" outlineLevel="1" x14ac:dyDescent="0.3">
      <c r="B578" s="14"/>
      <c r="C578" s="13" t="str">
        <f t="shared" si="150"/>
        <v>Silo</v>
      </c>
      <c r="D578" s="12" t="s">
        <v>41</v>
      </c>
      <c r="E578" s="12" t="s">
        <v>56</v>
      </c>
      <c r="F578" s="69">
        <f t="shared" si="154"/>
        <v>8722.2731413333331</v>
      </c>
      <c r="G578" s="14"/>
      <c r="H578" s="67">
        <f t="shared" si="155"/>
        <v>0</v>
      </c>
      <c r="I578" s="67">
        <f t="shared" si="155"/>
        <v>0</v>
      </c>
      <c r="J578" s="67">
        <f t="shared" si="155"/>
        <v>0</v>
      </c>
      <c r="K578" s="67">
        <f t="shared" si="155"/>
        <v>0</v>
      </c>
      <c r="L578" s="67">
        <f t="shared" si="155"/>
        <v>0</v>
      </c>
      <c r="M578" s="67">
        <f t="shared" si="155"/>
        <v>2324.870598333333</v>
      </c>
      <c r="N578" s="67">
        <f t="shared" si="155"/>
        <v>2228.6690563333332</v>
      </c>
      <c r="O578" s="67">
        <f t="shared" si="155"/>
        <v>2132.4675143333334</v>
      </c>
      <c r="P578" s="67">
        <f t="shared" si="155"/>
        <v>2036.2659723333334</v>
      </c>
    </row>
    <row r="579" spans="2:16" ht="13" hidden="1" outlineLevel="1" x14ac:dyDescent="0.3">
      <c r="B579" s="14"/>
      <c r="C579" s="13" t="str">
        <f t="shared" si="150"/>
        <v>Nuevo Gate</v>
      </c>
      <c r="D579" s="12" t="s">
        <v>41</v>
      </c>
      <c r="E579" s="12" t="s">
        <v>56</v>
      </c>
      <c r="F579" s="69">
        <f t="shared" si="154"/>
        <v>68142.566132319378</v>
      </c>
      <c r="G579" s="14"/>
      <c r="H579" s="67">
        <f t="shared" si="155"/>
        <v>0</v>
      </c>
      <c r="I579" s="67">
        <f t="shared" si="155"/>
        <v>0</v>
      </c>
      <c r="J579" s="67">
        <f t="shared" si="155"/>
        <v>0</v>
      </c>
      <c r="K579" s="67">
        <f t="shared" si="155"/>
        <v>0</v>
      </c>
      <c r="L579" s="67">
        <f t="shared" si="155"/>
        <v>0</v>
      </c>
      <c r="M579" s="67">
        <f t="shared" si="155"/>
        <v>18152.203433242801</v>
      </c>
      <c r="N579" s="67">
        <f t="shared" si="155"/>
        <v>17407.828833134165</v>
      </c>
      <c r="O579" s="67">
        <f t="shared" si="155"/>
        <v>16663.454233025528</v>
      </c>
      <c r="P579" s="67">
        <f t="shared" si="155"/>
        <v>15919.079632916892</v>
      </c>
    </row>
    <row r="580" spans="2:16" ht="13" hidden="1" outlineLevel="1" x14ac:dyDescent="0.3">
      <c r="B580" s="14"/>
      <c r="C580" s="13" t="str">
        <f t="shared" si="150"/>
        <v xml:space="preserve">Pavimento reefer </v>
      </c>
      <c r="D580" s="12" t="s">
        <v>41</v>
      </c>
      <c r="E580" s="12" t="s">
        <v>56</v>
      </c>
      <c r="F580" s="69">
        <f t="shared" si="154"/>
        <v>34852.536054999997</v>
      </c>
      <c r="G580" s="14"/>
      <c r="H580" s="67">
        <f t="shared" si="155"/>
        <v>0</v>
      </c>
      <c r="I580" s="67">
        <f t="shared" si="155"/>
        <v>0</v>
      </c>
      <c r="J580" s="67">
        <f t="shared" si="155"/>
        <v>0</v>
      </c>
      <c r="K580" s="67">
        <f t="shared" si="155"/>
        <v>0</v>
      </c>
      <c r="L580" s="67">
        <f t="shared" si="155"/>
        <v>0</v>
      </c>
      <c r="M580" s="67">
        <f t="shared" si="155"/>
        <v>9669.4536006249982</v>
      </c>
      <c r="N580" s="67">
        <f t="shared" si="155"/>
        <v>9031.9072093749983</v>
      </c>
      <c r="O580" s="67">
        <f t="shared" si="155"/>
        <v>8394.3608181249983</v>
      </c>
      <c r="P580" s="67">
        <f t="shared" si="155"/>
        <v>7756.8144268749984</v>
      </c>
    </row>
    <row r="581" spans="2:16" ht="13" hidden="1" outlineLevel="1" x14ac:dyDescent="0.3">
      <c r="B581" s="14"/>
      <c r="C581" s="13" t="str">
        <f t="shared" si="150"/>
        <v>Reefer rack</v>
      </c>
      <c r="D581" s="12" t="s">
        <v>41</v>
      </c>
      <c r="E581" s="12" t="s">
        <v>56</v>
      </c>
      <c r="F581" s="69">
        <f t="shared" si="154"/>
        <v>5894.8739289999994</v>
      </c>
      <c r="G581" s="14"/>
      <c r="H581" s="67">
        <f t="shared" si="155"/>
        <v>0</v>
      </c>
      <c r="I581" s="67">
        <f t="shared" si="155"/>
        <v>0</v>
      </c>
      <c r="J581" s="67">
        <f t="shared" si="155"/>
        <v>0</v>
      </c>
      <c r="K581" s="67">
        <f t="shared" si="155"/>
        <v>0</v>
      </c>
      <c r="L581" s="67">
        <f t="shared" si="155"/>
        <v>0</v>
      </c>
      <c r="M581" s="67">
        <f t="shared" si="155"/>
        <v>1593.2091699999999</v>
      </c>
      <c r="N581" s="67">
        <f t="shared" si="155"/>
        <v>1513.5487114999999</v>
      </c>
      <c r="O581" s="67">
        <f t="shared" si="155"/>
        <v>1433.8882529999998</v>
      </c>
      <c r="P581" s="67">
        <f t="shared" si="155"/>
        <v>1354.2277944999998</v>
      </c>
    </row>
    <row r="582" spans="2:16" ht="13" hidden="1" outlineLevel="1" x14ac:dyDescent="0.3">
      <c r="B582" s="14"/>
      <c r="C582" s="13" t="str">
        <f t="shared" si="150"/>
        <v>Taller de mantenimiento</v>
      </c>
      <c r="D582" s="12" t="s">
        <v>41</v>
      </c>
      <c r="E582" s="12" t="s">
        <v>56</v>
      </c>
      <c r="F582" s="69">
        <f t="shared" si="154"/>
        <v>39949.751243527433</v>
      </c>
      <c r="G582" s="14"/>
      <c r="H582" s="67">
        <f t="shared" ref="H582:P610" si="156">IF(-H70&gt;G582,0,
IF(H70+G582-(H413-G413)&lt;0,0,H70+G582-(H413-G413)))</f>
        <v>0</v>
      </c>
      <c r="I582" s="67">
        <f t="shared" si="156"/>
        <v>0</v>
      </c>
      <c r="J582" s="67">
        <f t="shared" si="156"/>
        <v>0</v>
      </c>
      <c r="K582" s="67">
        <f t="shared" si="156"/>
        <v>0</v>
      </c>
      <c r="L582" s="67">
        <f t="shared" si="156"/>
        <v>0</v>
      </c>
      <c r="M582" s="67">
        <f t="shared" si="156"/>
        <v>10641.089379999999</v>
      </c>
      <c r="N582" s="67">
        <f t="shared" si="156"/>
        <v>10205.321667254571</v>
      </c>
      <c r="O582" s="67">
        <f t="shared" si="156"/>
        <v>9769.5539545091433</v>
      </c>
      <c r="P582" s="67">
        <f t="shared" si="156"/>
        <v>9333.7862417637152</v>
      </c>
    </row>
    <row r="583" spans="2:16" ht="13" hidden="1" outlineLevel="1" x14ac:dyDescent="0.3">
      <c r="B583" s="14"/>
      <c r="C583" s="13" t="str">
        <f t="shared" si="150"/>
        <v>Pavimento carga general</v>
      </c>
      <c r="D583" s="12" t="s">
        <v>41</v>
      </c>
      <c r="E583" s="12" t="s">
        <v>56</v>
      </c>
      <c r="F583" s="69">
        <f t="shared" si="154"/>
        <v>88103.519696000003</v>
      </c>
      <c r="G583" s="14"/>
      <c r="H583" s="67">
        <f t="shared" si="156"/>
        <v>0</v>
      </c>
      <c r="I583" s="67">
        <f t="shared" si="156"/>
        <v>0</v>
      </c>
      <c r="J583" s="67">
        <f t="shared" si="156"/>
        <v>0</v>
      </c>
      <c r="K583" s="67">
        <f t="shared" si="156"/>
        <v>0</v>
      </c>
      <c r="L583" s="67">
        <f t="shared" si="156"/>
        <v>0</v>
      </c>
      <c r="M583" s="67">
        <f t="shared" si="156"/>
        <v>23811.76208</v>
      </c>
      <c r="N583" s="67">
        <f t="shared" si="156"/>
        <v>22621.173976000002</v>
      </c>
      <c r="O583" s="67">
        <f t="shared" si="156"/>
        <v>21430.585872000003</v>
      </c>
      <c r="P583" s="67">
        <f t="shared" si="156"/>
        <v>20239.997768000005</v>
      </c>
    </row>
    <row r="584" spans="2:16" ht="13" hidden="1" outlineLevel="1" x14ac:dyDescent="0.3">
      <c r="B584" s="14"/>
      <c r="C584" s="13" t="str">
        <f t="shared" si="150"/>
        <v>Sub-estación eléctrica</v>
      </c>
      <c r="D584" s="12" t="s">
        <v>41</v>
      </c>
      <c r="E584" s="12" t="s">
        <v>56</v>
      </c>
      <c r="F584" s="69">
        <f t="shared" si="154"/>
        <v>50759.652610999998</v>
      </c>
      <c r="G584" s="14"/>
      <c r="H584" s="67">
        <f t="shared" si="156"/>
        <v>0</v>
      </c>
      <c r="I584" s="67">
        <f t="shared" si="156"/>
        <v>0</v>
      </c>
      <c r="J584" s="67">
        <f t="shared" si="156"/>
        <v>0</v>
      </c>
      <c r="K584" s="67">
        <f t="shared" si="156"/>
        <v>0</v>
      </c>
      <c r="L584" s="67">
        <f t="shared" si="156"/>
        <v>0</v>
      </c>
      <c r="M584" s="67">
        <f t="shared" si="156"/>
        <v>13718.82503</v>
      </c>
      <c r="N584" s="67">
        <f t="shared" si="156"/>
        <v>13032.8837785</v>
      </c>
      <c r="O584" s="67">
        <f t="shared" si="156"/>
        <v>12346.942526999999</v>
      </c>
      <c r="P584" s="67">
        <f t="shared" si="156"/>
        <v>11661.001275499999</v>
      </c>
    </row>
    <row r="585" spans="2:16" ht="13" hidden="1" outlineLevel="1" x14ac:dyDescent="0.3">
      <c r="B585" s="14"/>
      <c r="C585" s="13" t="str">
        <f t="shared" si="150"/>
        <v>Cierre construcción Fases 1&amp;2 (JJCC)</v>
      </c>
      <c r="D585" s="12" t="s">
        <v>41</v>
      </c>
      <c r="E585" s="12" t="s">
        <v>56</v>
      </c>
      <c r="F585" s="69">
        <f t="shared" si="154"/>
        <v>36595.437463291928</v>
      </c>
      <c r="G585" s="14"/>
      <c r="H585" s="67">
        <f t="shared" si="156"/>
        <v>0</v>
      </c>
      <c r="I585" s="67">
        <f t="shared" si="156"/>
        <v>0</v>
      </c>
      <c r="J585" s="67">
        <f t="shared" si="156"/>
        <v>0</v>
      </c>
      <c r="K585" s="67">
        <f t="shared" si="156"/>
        <v>0</v>
      </c>
      <c r="L585" s="67">
        <f t="shared" si="156"/>
        <v>0</v>
      </c>
      <c r="M585" s="67">
        <f t="shared" si="156"/>
        <v>0</v>
      </c>
      <c r="N585" s="67">
        <f t="shared" si="156"/>
        <v>12742.399939286655</v>
      </c>
      <c r="O585" s="67">
        <f t="shared" si="156"/>
        <v>12198.479154430643</v>
      </c>
      <c r="P585" s="67">
        <f t="shared" si="156"/>
        <v>11654.55836957463</v>
      </c>
    </row>
    <row r="586" spans="2:16" ht="13" hidden="1" outlineLevel="1" x14ac:dyDescent="0.3">
      <c r="B586" s="14"/>
      <c r="C586" s="13" t="str">
        <f t="shared" si="150"/>
        <v>Pre-adjudicación (Proinversión y otros)</v>
      </c>
      <c r="D586" s="12" t="s">
        <v>41</v>
      </c>
      <c r="E586" s="12" t="s">
        <v>56</v>
      </c>
      <c r="F586" s="69">
        <f t="shared" si="154"/>
        <v>13571.769992179556</v>
      </c>
      <c r="G586" s="14"/>
      <c r="H586" s="67">
        <f t="shared" si="156"/>
        <v>1754.4410085905592</v>
      </c>
      <c r="I586" s="67">
        <f t="shared" si="156"/>
        <v>1673.8921699999999</v>
      </c>
      <c r="J586" s="67">
        <f t="shared" si="156"/>
        <v>1617.6847279853212</v>
      </c>
      <c r="K586" s="67">
        <f t="shared" si="156"/>
        <v>1561.4772859706425</v>
      </c>
      <c r="L586" s="67">
        <f t="shared" si="156"/>
        <v>1505.2698439559638</v>
      </c>
      <c r="M586" s="67">
        <f t="shared" si="156"/>
        <v>1449.0624019412851</v>
      </c>
      <c r="N586" s="67">
        <f t="shared" si="156"/>
        <v>1392.8549599266064</v>
      </c>
      <c r="O586" s="67">
        <f t="shared" si="156"/>
        <v>1336.6475179119277</v>
      </c>
      <c r="P586" s="67">
        <f t="shared" si="156"/>
        <v>1280.440075897249</v>
      </c>
    </row>
    <row r="587" spans="2:16" ht="13" hidden="1" outlineLevel="1" x14ac:dyDescent="0.3">
      <c r="B587" s="14"/>
      <c r="C587" s="13" t="str">
        <f t="shared" si="150"/>
        <v>Pre-operativo (implementación)</v>
      </c>
      <c r="D587" s="12" t="s">
        <v>41</v>
      </c>
      <c r="E587" s="12" t="s">
        <v>56</v>
      </c>
      <c r="F587" s="69">
        <f t="shared" si="154"/>
        <v>11267.170107976352</v>
      </c>
      <c r="G587" s="14"/>
      <c r="H587" s="67">
        <f t="shared" si="156"/>
        <v>1305.0662131181953</v>
      </c>
      <c r="I587" s="67">
        <f t="shared" si="156"/>
        <v>1553.9105395995534</v>
      </c>
      <c r="J587" s="67">
        <f t="shared" si="156"/>
        <v>1333.19533</v>
      </c>
      <c r="K587" s="67">
        <f t="shared" si="156"/>
        <v>1289.1652028822355</v>
      </c>
      <c r="L587" s="67">
        <f t="shared" si="156"/>
        <v>1245.1656567465814</v>
      </c>
      <c r="M587" s="67">
        <f t="shared" si="156"/>
        <v>1201.1661106109273</v>
      </c>
      <c r="N587" s="67">
        <f t="shared" si="156"/>
        <v>1157.1665644752732</v>
      </c>
      <c r="O587" s="67">
        <f t="shared" si="156"/>
        <v>1113.1670183396191</v>
      </c>
      <c r="P587" s="67">
        <f t="shared" si="156"/>
        <v>1069.167472203965</v>
      </c>
    </row>
    <row r="588" spans="2:16" ht="13" hidden="1" outlineLevel="1" x14ac:dyDescent="0.3">
      <c r="B588" s="14"/>
      <c r="C588" s="13" t="str">
        <f t="shared" si="150"/>
        <v>Licencia</v>
      </c>
      <c r="D588" s="12" t="s">
        <v>41</v>
      </c>
      <c r="E588" s="12" t="s">
        <v>56</v>
      </c>
      <c r="F588" s="69">
        <f t="shared" si="154"/>
        <v>15.781249999999998</v>
      </c>
      <c r="G588" s="14"/>
      <c r="H588" s="67">
        <f t="shared" si="156"/>
        <v>8.4166666666666661</v>
      </c>
      <c r="I588" s="67">
        <f t="shared" si="156"/>
        <v>5.2604166666666661</v>
      </c>
      <c r="J588" s="67">
        <f t="shared" si="156"/>
        <v>2.1041666666666661</v>
      </c>
      <c r="K588" s="67">
        <f t="shared" si="156"/>
        <v>0</v>
      </c>
      <c r="L588" s="67">
        <f t="shared" si="156"/>
        <v>0</v>
      </c>
      <c r="M588" s="67">
        <f t="shared" si="156"/>
        <v>0</v>
      </c>
      <c r="N588" s="67">
        <f t="shared" si="156"/>
        <v>0</v>
      </c>
      <c r="O588" s="67">
        <f t="shared" si="156"/>
        <v>0</v>
      </c>
      <c r="P588" s="67">
        <f t="shared" si="156"/>
        <v>0</v>
      </c>
    </row>
    <row r="589" spans="2:16" ht="13" hidden="1" outlineLevel="1" x14ac:dyDescent="0.3">
      <c r="B589" s="14"/>
      <c r="C589" s="13" t="str">
        <f t="shared" si="150"/>
        <v>Hardware</v>
      </c>
      <c r="D589" s="12" t="s">
        <v>41</v>
      </c>
      <c r="E589" s="12" t="s">
        <v>56</v>
      </c>
      <c r="F589" s="69">
        <f t="shared" si="154"/>
        <v>8089.7010915268766</v>
      </c>
      <c r="G589" s="14"/>
      <c r="H589" s="67">
        <f t="shared" si="156"/>
        <v>0</v>
      </c>
      <c r="I589" s="67">
        <f t="shared" si="156"/>
        <v>1219.592337179587</v>
      </c>
      <c r="J589" s="67">
        <f t="shared" si="156"/>
        <v>700.76932999999985</v>
      </c>
      <c r="K589" s="67">
        <f t="shared" si="156"/>
        <v>686.66133111111094</v>
      </c>
      <c r="L589" s="67">
        <f t="shared" si="156"/>
        <v>972.41042722222244</v>
      </c>
      <c r="M589" s="67">
        <f t="shared" si="156"/>
        <v>2610.0326871898369</v>
      </c>
      <c r="N589" s="67">
        <f t="shared" si="156"/>
        <v>1487.2841055231706</v>
      </c>
      <c r="O589" s="67">
        <f t="shared" si="156"/>
        <v>412.95087330094839</v>
      </c>
      <c r="P589" s="67">
        <f t="shared" si="156"/>
        <v>0</v>
      </c>
    </row>
    <row r="590" spans="2:16" ht="13" hidden="1" outlineLevel="1" x14ac:dyDescent="0.3">
      <c r="B590" s="14"/>
      <c r="C590" s="13" t="str">
        <f t="shared" si="150"/>
        <v>Software</v>
      </c>
      <c r="D590" s="12" t="s">
        <v>41</v>
      </c>
      <c r="E590" s="12" t="s">
        <v>56</v>
      </c>
      <c r="F590" s="69">
        <f t="shared" si="154"/>
        <v>119.76066166666664</v>
      </c>
      <c r="G590" s="14"/>
      <c r="H590" s="67">
        <f t="shared" si="156"/>
        <v>0</v>
      </c>
      <c r="I590" s="67">
        <f t="shared" si="156"/>
        <v>0</v>
      </c>
      <c r="J590" s="67">
        <f t="shared" si="156"/>
        <v>0</v>
      </c>
      <c r="K590" s="67">
        <f t="shared" si="156"/>
        <v>76.295567222222218</v>
      </c>
      <c r="L590" s="67">
        <f t="shared" si="156"/>
        <v>39.920220555555545</v>
      </c>
      <c r="M590" s="67">
        <f t="shared" si="156"/>
        <v>3.5448738888888727</v>
      </c>
      <c r="N590" s="67">
        <f t="shared" si="156"/>
        <v>0</v>
      </c>
      <c r="O590" s="67">
        <f t="shared" si="156"/>
        <v>0</v>
      </c>
      <c r="P590" s="67">
        <f t="shared" si="156"/>
        <v>0</v>
      </c>
    </row>
    <row r="591" spans="2:16" ht="13" hidden="1" outlineLevel="1" x14ac:dyDescent="0.3">
      <c r="B591" s="14"/>
      <c r="C591" s="13" t="str">
        <f t="shared" si="150"/>
        <v>Infraestructura eléctrica</v>
      </c>
      <c r="D591" s="12" t="s">
        <v>41</v>
      </c>
      <c r="E591" s="12" t="s">
        <v>56</v>
      </c>
      <c r="F591" s="69">
        <f t="shared" si="154"/>
        <v>7495.2646782440479</v>
      </c>
      <c r="G591" s="14"/>
      <c r="H591" s="67">
        <f t="shared" si="156"/>
        <v>0</v>
      </c>
      <c r="I591" s="67">
        <f t="shared" si="156"/>
        <v>0</v>
      </c>
      <c r="J591" s="67">
        <f t="shared" si="156"/>
        <v>0</v>
      </c>
      <c r="K591" s="67">
        <f t="shared" si="156"/>
        <v>0</v>
      </c>
      <c r="L591" s="67">
        <f t="shared" si="156"/>
        <v>1286.2992644583333</v>
      </c>
      <c r="M591" s="67">
        <f t="shared" si="156"/>
        <v>1590.0708365119049</v>
      </c>
      <c r="N591" s="67">
        <f t="shared" si="156"/>
        <v>1403.4495929404764</v>
      </c>
      <c r="O591" s="67">
        <f t="shared" si="156"/>
        <v>1713.8881077023807</v>
      </c>
      <c r="P591" s="67">
        <f t="shared" si="156"/>
        <v>1501.556876630952</v>
      </c>
    </row>
    <row r="592" spans="2:16" ht="13" hidden="1" outlineLevel="1" x14ac:dyDescent="0.3">
      <c r="B592" s="14"/>
      <c r="C592" s="13" t="str">
        <f t="shared" si="150"/>
        <v>EIA y CIRA</v>
      </c>
      <c r="D592" s="12" t="s">
        <v>41</v>
      </c>
      <c r="E592" s="12" t="s">
        <v>56</v>
      </c>
      <c r="F592" s="69">
        <f t="shared" si="154"/>
        <v>20659.621549912477</v>
      </c>
      <c r="G592" s="14"/>
      <c r="H592" s="67">
        <f t="shared" si="156"/>
        <v>0</v>
      </c>
      <c r="I592" s="67">
        <f t="shared" si="156"/>
        <v>0</v>
      </c>
      <c r="J592" s="67">
        <f t="shared" si="156"/>
        <v>0</v>
      </c>
      <c r="K592" s="67">
        <f t="shared" si="156"/>
        <v>0</v>
      </c>
      <c r="L592" s="67">
        <f t="shared" si="156"/>
        <v>0</v>
      </c>
      <c r="M592" s="67">
        <f t="shared" si="156"/>
        <v>5502.9752900000003</v>
      </c>
      <c r="N592" s="67">
        <f t="shared" si="156"/>
        <v>5277.595354985413</v>
      </c>
      <c r="O592" s="67">
        <f t="shared" si="156"/>
        <v>5052.2154199708257</v>
      </c>
      <c r="P592" s="67">
        <f t="shared" si="156"/>
        <v>4826.8354849562384</v>
      </c>
    </row>
    <row r="593" spans="2:16" ht="13" hidden="1" outlineLevel="1" x14ac:dyDescent="0.3">
      <c r="B593" s="14"/>
      <c r="C593" s="13" t="str">
        <f t="shared" si="150"/>
        <v>Estudios Terminal (Riesgo Tsunami y Analisis estructural)</v>
      </c>
      <c r="D593" s="12" t="s">
        <v>41</v>
      </c>
      <c r="E593" s="12" t="s">
        <v>56</v>
      </c>
      <c r="F593" s="69">
        <f t="shared" si="154"/>
        <v>874.17021582136442</v>
      </c>
      <c r="G593" s="14"/>
      <c r="H593" s="67">
        <f t="shared" si="156"/>
        <v>0</v>
      </c>
      <c r="I593" s="67">
        <f t="shared" si="156"/>
        <v>0</v>
      </c>
      <c r="J593" s="67">
        <f t="shared" si="156"/>
        <v>0</v>
      </c>
      <c r="K593" s="67">
        <f t="shared" si="156"/>
        <v>0</v>
      </c>
      <c r="L593" s="67">
        <f t="shared" si="156"/>
        <v>0</v>
      </c>
      <c r="M593" s="67">
        <f t="shared" si="156"/>
        <v>232.84729999999999</v>
      </c>
      <c r="N593" s="67">
        <f t="shared" si="156"/>
        <v>223.31080263689407</v>
      </c>
      <c r="O593" s="67">
        <f t="shared" si="156"/>
        <v>213.77430527378814</v>
      </c>
      <c r="P593" s="67">
        <f t="shared" si="156"/>
        <v>204.23780791068222</v>
      </c>
    </row>
    <row r="594" spans="2:16" ht="13" hidden="1" outlineLevel="1" x14ac:dyDescent="0.3">
      <c r="B594" s="14"/>
      <c r="C594" s="13" t="str">
        <f t="shared" si="150"/>
        <v>Fondo pesquero</v>
      </c>
      <c r="D594" s="12" t="s">
        <v>41</v>
      </c>
      <c r="E594" s="12" t="s">
        <v>56</v>
      </c>
      <c r="F594" s="69">
        <f t="shared" si="154"/>
        <v>8942.0432335480255</v>
      </c>
      <c r="G594" s="14"/>
      <c r="H594" s="67">
        <f t="shared" si="156"/>
        <v>0</v>
      </c>
      <c r="I594" s="67">
        <f t="shared" si="156"/>
        <v>0</v>
      </c>
      <c r="J594" s="67">
        <f t="shared" si="156"/>
        <v>0</v>
      </c>
      <c r="K594" s="67">
        <f t="shared" si="156"/>
        <v>0</v>
      </c>
      <c r="L594" s="67">
        <f t="shared" si="156"/>
        <v>0</v>
      </c>
      <c r="M594" s="67">
        <f t="shared" si="156"/>
        <v>2381.8366099999998</v>
      </c>
      <c r="N594" s="67">
        <f t="shared" si="156"/>
        <v>2284.2860755913375</v>
      </c>
      <c r="O594" s="67">
        <f t="shared" si="156"/>
        <v>2186.7355411826752</v>
      </c>
      <c r="P594" s="67">
        <f t="shared" si="156"/>
        <v>2089.1850067740129</v>
      </c>
    </row>
    <row r="595" spans="2:16" ht="13" hidden="1" outlineLevel="1" x14ac:dyDescent="0.3">
      <c r="B595" s="14"/>
      <c r="C595" s="13" t="str">
        <f t="shared" si="150"/>
        <v>Asistencia técnica (hab. urbana, licencias y permisos)</v>
      </c>
      <c r="D595" s="12" t="s">
        <v>41</v>
      </c>
      <c r="E595" s="12" t="s">
        <v>56</v>
      </c>
      <c r="F595" s="69">
        <f t="shared" si="154"/>
        <v>1364.3953526413827</v>
      </c>
      <c r="G595" s="14"/>
      <c r="H595" s="67">
        <f t="shared" si="156"/>
        <v>0</v>
      </c>
      <c r="I595" s="67">
        <f t="shared" si="156"/>
        <v>0</v>
      </c>
      <c r="J595" s="67">
        <f t="shared" si="156"/>
        <v>0</v>
      </c>
      <c r="K595" s="67">
        <f t="shared" si="156"/>
        <v>0</v>
      </c>
      <c r="L595" s="67">
        <f t="shared" si="156"/>
        <v>0</v>
      </c>
      <c r="M595" s="67">
        <f t="shared" si="156"/>
        <v>363.42553000000004</v>
      </c>
      <c r="N595" s="67">
        <f t="shared" si="156"/>
        <v>348.54106877356378</v>
      </c>
      <c r="O595" s="67">
        <f t="shared" si="156"/>
        <v>333.65660754712752</v>
      </c>
      <c r="P595" s="67">
        <f t="shared" si="156"/>
        <v>318.77214632069126</v>
      </c>
    </row>
    <row r="596" spans="2:16" ht="13" hidden="1" outlineLevel="1" x14ac:dyDescent="0.3">
      <c r="B596" s="14"/>
      <c r="C596" s="13" t="str">
        <f t="shared" si="150"/>
        <v>Tramites municipales</v>
      </c>
      <c r="D596" s="12" t="s">
        <v>41</v>
      </c>
      <c r="E596" s="12" t="s">
        <v>56</v>
      </c>
      <c r="F596" s="69">
        <f t="shared" si="154"/>
        <v>19.514894999999999</v>
      </c>
      <c r="G596" s="14"/>
      <c r="H596" s="67">
        <f t="shared" si="156"/>
        <v>0</v>
      </c>
      <c r="I596" s="67">
        <f t="shared" si="156"/>
        <v>0</v>
      </c>
      <c r="J596" s="67">
        <f t="shared" si="156"/>
        <v>0</v>
      </c>
      <c r="K596" s="67">
        <f t="shared" si="156"/>
        <v>0</v>
      </c>
      <c r="L596" s="67">
        <f t="shared" si="156"/>
        <v>0</v>
      </c>
      <c r="M596" s="67">
        <f t="shared" si="156"/>
        <v>5.19828125</v>
      </c>
      <c r="N596" s="67">
        <f t="shared" si="156"/>
        <v>4.9852429166666665</v>
      </c>
      <c r="O596" s="67">
        <f t="shared" si="156"/>
        <v>4.7722045833333331</v>
      </c>
      <c r="P596" s="67">
        <f t="shared" si="156"/>
        <v>4.5591662499999996</v>
      </c>
    </row>
    <row r="597" spans="2:16" ht="13" hidden="1" outlineLevel="1" x14ac:dyDescent="0.3">
      <c r="B597" s="14"/>
      <c r="C597" s="13" t="str">
        <f t="shared" si="150"/>
        <v>Elaboración bases licitación obras Etapas 1 y 2</v>
      </c>
      <c r="D597" s="12" t="s">
        <v>41</v>
      </c>
      <c r="E597" s="12" t="s">
        <v>56</v>
      </c>
      <c r="F597" s="69">
        <f t="shared" si="154"/>
        <v>1094.5397259964095</v>
      </c>
      <c r="G597" s="14"/>
      <c r="H597" s="67">
        <f t="shared" si="156"/>
        <v>0</v>
      </c>
      <c r="I597" s="67">
        <f t="shared" si="156"/>
        <v>0</v>
      </c>
      <c r="J597" s="67">
        <f t="shared" si="156"/>
        <v>0</v>
      </c>
      <c r="K597" s="67">
        <f t="shared" si="156"/>
        <v>0</v>
      </c>
      <c r="L597" s="67">
        <f t="shared" si="156"/>
        <v>0</v>
      </c>
      <c r="M597" s="67">
        <f t="shared" si="156"/>
        <v>291.54576000000003</v>
      </c>
      <c r="N597" s="67">
        <f t="shared" si="156"/>
        <v>279.60520766606828</v>
      </c>
      <c r="O597" s="67">
        <f t="shared" si="156"/>
        <v>267.66465533213648</v>
      </c>
      <c r="P597" s="67">
        <f t="shared" si="156"/>
        <v>255.7241029982047</v>
      </c>
    </row>
    <row r="598" spans="2:16" ht="13" hidden="1" outlineLevel="1" x14ac:dyDescent="0.3">
      <c r="B598" s="14"/>
      <c r="C598" s="13" t="str">
        <f t="shared" si="150"/>
        <v>Asesoría legal implementación Etapas 1 y 2</v>
      </c>
      <c r="D598" s="12" t="s">
        <v>41</v>
      </c>
      <c r="E598" s="12" t="s">
        <v>56</v>
      </c>
      <c r="F598" s="69">
        <f t="shared" si="154"/>
        <v>4733.1346560076299</v>
      </c>
      <c r="G598" s="14"/>
      <c r="H598" s="67">
        <f t="shared" si="156"/>
        <v>0</v>
      </c>
      <c r="I598" s="67">
        <f t="shared" si="156"/>
        <v>0</v>
      </c>
      <c r="J598" s="67">
        <f t="shared" si="156"/>
        <v>0</v>
      </c>
      <c r="K598" s="67">
        <f t="shared" si="156"/>
        <v>0</v>
      </c>
      <c r="L598" s="67">
        <f t="shared" si="156"/>
        <v>0</v>
      </c>
      <c r="M598" s="67">
        <f t="shared" si="156"/>
        <v>1260.7357299999999</v>
      </c>
      <c r="N598" s="67">
        <f t="shared" si="156"/>
        <v>1209.1010193346049</v>
      </c>
      <c r="O598" s="67">
        <f t="shared" si="156"/>
        <v>1157.4663086692099</v>
      </c>
      <c r="P598" s="67">
        <f t="shared" si="156"/>
        <v>1105.8315980038149</v>
      </c>
    </row>
    <row r="599" spans="2:16" ht="13" hidden="1" outlineLevel="1" x14ac:dyDescent="0.3">
      <c r="B599" s="14"/>
      <c r="C599" s="13" t="str">
        <f t="shared" si="150"/>
        <v>Consultorias - Revisión aceptación de obras Fases 1 &amp; 2</v>
      </c>
      <c r="D599" s="12" t="s">
        <v>41</v>
      </c>
      <c r="E599" s="12" t="s">
        <v>56</v>
      </c>
      <c r="F599" s="69">
        <f t="shared" si="154"/>
        <v>93.856597845601428</v>
      </c>
      <c r="G599" s="14"/>
      <c r="H599" s="67">
        <f t="shared" si="156"/>
        <v>0</v>
      </c>
      <c r="I599" s="67">
        <f t="shared" si="156"/>
        <v>0</v>
      </c>
      <c r="J599" s="67">
        <f t="shared" si="156"/>
        <v>0</v>
      </c>
      <c r="K599" s="67">
        <f t="shared" si="156"/>
        <v>0</v>
      </c>
      <c r="L599" s="67">
        <f t="shared" si="156"/>
        <v>0</v>
      </c>
      <c r="M599" s="67">
        <f t="shared" si="156"/>
        <v>25</v>
      </c>
      <c r="N599" s="67">
        <f t="shared" si="156"/>
        <v>23.976099640933572</v>
      </c>
      <c r="O599" s="67">
        <f t="shared" si="156"/>
        <v>22.952199281867145</v>
      </c>
      <c r="P599" s="67">
        <f t="shared" si="156"/>
        <v>21.928298922800717</v>
      </c>
    </row>
    <row r="600" spans="2:16" ht="13" hidden="1" outlineLevel="1" x14ac:dyDescent="0.3">
      <c r="B600" s="14"/>
      <c r="C600" s="13" t="str">
        <f t="shared" si="150"/>
        <v>Consultorías por cierre construcción Fases 1&amp;2 - Consorcio FCC - JJC</v>
      </c>
      <c r="D600" s="12" t="s">
        <v>41</v>
      </c>
      <c r="E600" s="12" t="s">
        <v>56</v>
      </c>
      <c r="F600" s="69">
        <f t="shared" si="154"/>
        <v>202.55868148563738</v>
      </c>
      <c r="G600" s="14"/>
      <c r="H600" s="67">
        <f t="shared" si="156"/>
        <v>0</v>
      </c>
      <c r="I600" s="67">
        <f t="shared" si="156"/>
        <v>0</v>
      </c>
      <c r="J600" s="67">
        <f t="shared" si="156"/>
        <v>0</v>
      </c>
      <c r="K600" s="67">
        <f t="shared" si="156"/>
        <v>0</v>
      </c>
      <c r="L600" s="67">
        <f t="shared" si="156"/>
        <v>0</v>
      </c>
      <c r="M600" s="67">
        <f t="shared" si="156"/>
        <v>53.954300000000003</v>
      </c>
      <c r="N600" s="67">
        <f t="shared" si="156"/>
        <v>51.744546914272895</v>
      </c>
      <c r="O600" s="67">
        <f t="shared" si="156"/>
        <v>49.534793828545787</v>
      </c>
      <c r="P600" s="67">
        <f t="shared" si="156"/>
        <v>47.325040742818679</v>
      </c>
    </row>
    <row r="601" spans="2:16" ht="13" hidden="1" outlineLevel="1" x14ac:dyDescent="0.3">
      <c r="B601" s="14"/>
      <c r="C601" s="13" t="str">
        <f t="shared" ref="C601:C620" si="157">+C261</f>
        <v>Capitalización Equipo Proyectos Implementación Etapas 1 y 2</v>
      </c>
      <c r="D601" s="12" t="s">
        <v>41</v>
      </c>
      <c r="E601" s="12" t="s">
        <v>56</v>
      </c>
      <c r="F601" s="69">
        <f t="shared" si="154"/>
        <v>9199.0217725112216</v>
      </c>
      <c r="G601" s="14"/>
      <c r="H601" s="67">
        <f t="shared" si="156"/>
        <v>0</v>
      </c>
      <c r="I601" s="67">
        <f t="shared" si="156"/>
        <v>0</v>
      </c>
      <c r="J601" s="67">
        <f t="shared" si="156"/>
        <v>0</v>
      </c>
      <c r="K601" s="67">
        <f t="shared" si="156"/>
        <v>0</v>
      </c>
      <c r="L601" s="67">
        <f t="shared" si="156"/>
        <v>0</v>
      </c>
      <c r="M601" s="67">
        <f t="shared" si="156"/>
        <v>2450.2863900000002</v>
      </c>
      <c r="N601" s="67">
        <f t="shared" si="156"/>
        <v>2349.9324254185372</v>
      </c>
      <c r="O601" s="67">
        <f t="shared" si="156"/>
        <v>2249.5784608370741</v>
      </c>
      <c r="P601" s="67">
        <f t="shared" si="156"/>
        <v>2149.224496255611</v>
      </c>
    </row>
    <row r="602" spans="2:16" ht="13" hidden="1" outlineLevel="1" x14ac:dyDescent="0.3">
      <c r="B602" s="14"/>
      <c r="C602" s="13" t="str">
        <f t="shared" si="157"/>
        <v>Expediente técnico, diseño e implementación - Etapas 1 y 2</v>
      </c>
      <c r="D602" s="12" t="s">
        <v>41</v>
      </c>
      <c r="E602" s="12" t="s">
        <v>56</v>
      </c>
      <c r="F602" s="69">
        <f t="shared" si="154"/>
        <v>13824.650565989676</v>
      </c>
      <c r="G602" s="14"/>
      <c r="H602" s="67">
        <f t="shared" si="156"/>
        <v>0</v>
      </c>
      <c r="I602" s="67">
        <f t="shared" si="156"/>
        <v>0</v>
      </c>
      <c r="J602" s="67">
        <f t="shared" si="156"/>
        <v>0</v>
      </c>
      <c r="K602" s="67">
        <f t="shared" si="156"/>
        <v>0</v>
      </c>
      <c r="L602" s="67">
        <f t="shared" si="156"/>
        <v>0</v>
      </c>
      <c r="M602" s="67">
        <f t="shared" si="156"/>
        <v>3682.38645</v>
      </c>
      <c r="N602" s="67">
        <f t="shared" si="156"/>
        <v>3531.5705776649461</v>
      </c>
      <c r="O602" s="67">
        <f t="shared" si="156"/>
        <v>3380.7547053298922</v>
      </c>
      <c r="P602" s="67">
        <f t="shared" si="156"/>
        <v>3229.9388329948383</v>
      </c>
    </row>
    <row r="603" spans="2:16" ht="13" hidden="1" outlineLevel="1" x14ac:dyDescent="0.3">
      <c r="B603" s="14"/>
      <c r="C603" s="13" t="str">
        <f t="shared" si="157"/>
        <v>Estudios e investigación (geotécnica, goefisica, sismica y similares)</v>
      </c>
      <c r="D603" s="12" t="s">
        <v>41</v>
      </c>
      <c r="E603" s="12" t="s">
        <v>56</v>
      </c>
      <c r="F603" s="69">
        <f t="shared" si="154"/>
        <v>6661.9864413330361</v>
      </c>
      <c r="G603" s="14"/>
      <c r="H603" s="67">
        <f t="shared" si="156"/>
        <v>0</v>
      </c>
      <c r="I603" s="67">
        <f t="shared" si="156"/>
        <v>0</v>
      </c>
      <c r="J603" s="67">
        <f t="shared" si="156"/>
        <v>0</v>
      </c>
      <c r="K603" s="67">
        <f t="shared" si="156"/>
        <v>0</v>
      </c>
      <c r="L603" s="67">
        <f t="shared" si="156"/>
        <v>0</v>
      </c>
      <c r="M603" s="67">
        <f t="shared" si="156"/>
        <v>1774.5120200000001</v>
      </c>
      <c r="N603" s="67">
        <f t="shared" si="156"/>
        <v>1701.8350802221726</v>
      </c>
      <c r="O603" s="67">
        <f t="shared" si="156"/>
        <v>1629.158140444345</v>
      </c>
      <c r="P603" s="67">
        <f t="shared" si="156"/>
        <v>1556.4812006665175</v>
      </c>
    </row>
    <row r="604" spans="2:16" ht="13" hidden="1" outlineLevel="1" x14ac:dyDescent="0.3">
      <c r="B604" s="14"/>
      <c r="C604" s="13" t="str">
        <f t="shared" si="157"/>
        <v>Otros estudios y asesorías - Etapas 1 y 2</v>
      </c>
      <c r="D604" s="12" t="s">
        <v>41</v>
      </c>
      <c r="E604" s="12" t="s">
        <v>56</v>
      </c>
      <c r="F604" s="69">
        <f t="shared" si="154"/>
        <v>371.40362251346494</v>
      </c>
      <c r="G604" s="14"/>
      <c r="H604" s="67">
        <f t="shared" si="156"/>
        <v>0</v>
      </c>
      <c r="I604" s="67">
        <f t="shared" si="156"/>
        <v>0</v>
      </c>
      <c r="J604" s="67">
        <f t="shared" si="156"/>
        <v>0</v>
      </c>
      <c r="K604" s="67">
        <f t="shared" si="156"/>
        <v>0</v>
      </c>
      <c r="L604" s="67">
        <f t="shared" si="156"/>
        <v>0</v>
      </c>
      <c r="M604" s="67">
        <f t="shared" si="156"/>
        <v>98.928479999999979</v>
      </c>
      <c r="N604" s="67">
        <f t="shared" si="156"/>
        <v>94.876763752244145</v>
      </c>
      <c r="O604" s="67">
        <f t="shared" si="156"/>
        <v>90.82504750448831</v>
      </c>
      <c r="P604" s="67">
        <f t="shared" si="156"/>
        <v>86.773331256732476</v>
      </c>
    </row>
    <row r="605" spans="2:16" ht="13" hidden="1" outlineLevel="1" x14ac:dyDescent="0.3">
      <c r="B605" s="14"/>
      <c r="C605" s="13" t="str">
        <f t="shared" si="157"/>
        <v>Energía, desmontaje y seguridad- Etapas 1 y 2</v>
      </c>
      <c r="D605" s="12" t="s">
        <v>41</v>
      </c>
      <c r="E605" s="12" t="s">
        <v>56</v>
      </c>
      <c r="F605" s="69">
        <f t="shared" si="154"/>
        <v>4127.1093238509866</v>
      </c>
      <c r="G605" s="14"/>
      <c r="H605" s="67">
        <f t="shared" si="156"/>
        <v>0</v>
      </c>
      <c r="I605" s="67">
        <f t="shared" si="156"/>
        <v>0</v>
      </c>
      <c r="J605" s="67">
        <f t="shared" si="156"/>
        <v>0</v>
      </c>
      <c r="K605" s="67">
        <f t="shared" si="156"/>
        <v>0</v>
      </c>
      <c r="L605" s="67">
        <f t="shared" si="156"/>
        <v>0</v>
      </c>
      <c r="M605" s="67">
        <f t="shared" si="156"/>
        <v>1099.3125199999999</v>
      </c>
      <c r="N605" s="67">
        <f t="shared" si="156"/>
        <v>1054.2890606418312</v>
      </c>
      <c r="O605" s="67">
        <f t="shared" si="156"/>
        <v>1009.2656012836624</v>
      </c>
      <c r="P605" s="67">
        <f t="shared" si="156"/>
        <v>964.24214192549357</v>
      </c>
    </row>
    <row r="606" spans="2:16" ht="13" hidden="1" outlineLevel="1" x14ac:dyDescent="0.3">
      <c r="B606" s="14"/>
      <c r="C606" s="13" t="str">
        <f t="shared" si="157"/>
        <v>Soporte implementación - Etapas 1 y 2</v>
      </c>
      <c r="D606" s="12" t="s">
        <v>41</v>
      </c>
      <c r="E606" s="12" t="s">
        <v>56</v>
      </c>
      <c r="F606" s="69">
        <f t="shared" si="154"/>
        <v>3838.8193228231594</v>
      </c>
      <c r="G606" s="14"/>
      <c r="H606" s="67">
        <f t="shared" si="156"/>
        <v>0</v>
      </c>
      <c r="I606" s="67">
        <f t="shared" si="156"/>
        <v>0</v>
      </c>
      <c r="J606" s="67">
        <f t="shared" si="156"/>
        <v>0</v>
      </c>
      <c r="K606" s="67">
        <f t="shared" si="156"/>
        <v>0</v>
      </c>
      <c r="L606" s="67">
        <f t="shared" si="156"/>
        <v>0</v>
      </c>
      <c r="M606" s="67">
        <f t="shared" si="156"/>
        <v>1022.5224999999999</v>
      </c>
      <c r="N606" s="67">
        <f t="shared" si="156"/>
        <v>980.64405380385983</v>
      </c>
      <c r="O606" s="67">
        <f t="shared" si="156"/>
        <v>938.76560760771986</v>
      </c>
      <c r="P606" s="67">
        <f t="shared" si="156"/>
        <v>896.88716141157988</v>
      </c>
    </row>
    <row r="607" spans="2:16" ht="13" hidden="1" outlineLevel="1" x14ac:dyDescent="0.3">
      <c r="B607" s="14"/>
      <c r="C607" s="13" t="str">
        <f t="shared" si="157"/>
        <v>Supervisión - Etapas 1 y 2</v>
      </c>
      <c r="D607" s="12" t="s">
        <v>41</v>
      </c>
      <c r="E607" s="12" t="s">
        <v>56</v>
      </c>
      <c r="F607" s="69">
        <f t="shared" si="154"/>
        <v>3131.6710901009869</v>
      </c>
      <c r="G607" s="14"/>
      <c r="H607" s="67">
        <f t="shared" si="156"/>
        <v>0</v>
      </c>
      <c r="I607" s="67">
        <f t="shared" si="156"/>
        <v>0</v>
      </c>
      <c r="J607" s="67">
        <f t="shared" si="156"/>
        <v>0</v>
      </c>
      <c r="K607" s="67">
        <f t="shared" si="156"/>
        <v>0</v>
      </c>
      <c r="L607" s="67">
        <f t="shared" si="156"/>
        <v>0</v>
      </c>
      <c r="M607" s="67">
        <f t="shared" si="156"/>
        <v>834.16380999999978</v>
      </c>
      <c r="N607" s="67">
        <f t="shared" si="156"/>
        <v>799.99978501683108</v>
      </c>
      <c r="O607" s="67">
        <f t="shared" si="156"/>
        <v>765.83576003366238</v>
      </c>
      <c r="P607" s="67">
        <f t="shared" si="156"/>
        <v>731.67173505049368</v>
      </c>
    </row>
    <row r="608" spans="2:16" ht="13" hidden="1" outlineLevel="1" x14ac:dyDescent="0.3">
      <c r="B608" s="14"/>
      <c r="C608" s="13" t="str">
        <f t="shared" si="157"/>
        <v>Costo Emisión Carta fianza - Etapas 1 y 2</v>
      </c>
      <c r="D608" s="12" t="s">
        <v>41</v>
      </c>
      <c r="E608" s="12" t="s">
        <v>56</v>
      </c>
      <c r="F608" s="69">
        <f t="shared" si="154"/>
        <v>5565.7664194367162</v>
      </c>
      <c r="G608" s="14"/>
      <c r="H608" s="67">
        <f t="shared" si="156"/>
        <v>0</v>
      </c>
      <c r="I608" s="67">
        <f t="shared" si="156"/>
        <v>0</v>
      </c>
      <c r="J608" s="67">
        <f t="shared" si="156"/>
        <v>0</v>
      </c>
      <c r="K608" s="67">
        <f t="shared" si="156"/>
        <v>0</v>
      </c>
      <c r="L608" s="67">
        <f t="shared" si="156"/>
        <v>0</v>
      </c>
      <c r="M608" s="67">
        <f t="shared" si="156"/>
        <v>1482.5186900000006</v>
      </c>
      <c r="N608" s="67">
        <f t="shared" si="156"/>
        <v>1421.800633239453</v>
      </c>
      <c r="O608" s="67">
        <f t="shared" si="156"/>
        <v>1361.0825764789054</v>
      </c>
      <c r="P608" s="67">
        <f t="shared" si="156"/>
        <v>1300.3645197183578</v>
      </c>
    </row>
    <row r="609" spans="2:16" ht="13" hidden="1" outlineLevel="1" x14ac:dyDescent="0.3">
      <c r="B609" s="14"/>
      <c r="C609" s="13" t="str">
        <f t="shared" si="157"/>
        <v>Asesoría legal - Etapas 1 y 2</v>
      </c>
      <c r="D609" s="12" t="s">
        <v>41</v>
      </c>
      <c r="E609" s="12" t="s">
        <v>56</v>
      </c>
      <c r="F609" s="69">
        <f t="shared" si="154"/>
        <v>5228.5282504151701</v>
      </c>
      <c r="G609" s="14"/>
      <c r="H609" s="67">
        <f t="shared" si="156"/>
        <v>0</v>
      </c>
      <c r="I609" s="67">
        <f t="shared" si="156"/>
        <v>0</v>
      </c>
      <c r="J609" s="67">
        <f t="shared" si="156"/>
        <v>0</v>
      </c>
      <c r="K609" s="67">
        <f t="shared" si="156"/>
        <v>0</v>
      </c>
      <c r="L609" s="67">
        <f t="shared" si="156"/>
        <v>0</v>
      </c>
      <c r="M609" s="67">
        <f t="shared" si="156"/>
        <v>1392.6906499999998</v>
      </c>
      <c r="N609" s="67">
        <f t="shared" si="156"/>
        <v>1335.6515917358615</v>
      </c>
      <c r="O609" s="67">
        <f t="shared" si="156"/>
        <v>1278.6125334717233</v>
      </c>
      <c r="P609" s="67">
        <f t="shared" si="156"/>
        <v>1221.573475207585</v>
      </c>
    </row>
    <row r="610" spans="2:16" ht="13" hidden="1" outlineLevel="1" x14ac:dyDescent="0.3">
      <c r="B610" s="14"/>
      <c r="C610" s="13" t="str">
        <f t="shared" si="157"/>
        <v>Otras obras (canaleta, paso a nivel, potencia eléctrica y otros)</v>
      </c>
      <c r="D610" s="12" t="s">
        <v>41</v>
      </c>
      <c r="E610" s="12" t="s">
        <v>56</v>
      </c>
      <c r="F610" s="69">
        <f t="shared" si="154"/>
        <v>2045.2585195399465</v>
      </c>
      <c r="G610" s="14"/>
      <c r="H610" s="67">
        <f t="shared" si="156"/>
        <v>0</v>
      </c>
      <c r="I610" s="67">
        <f t="shared" si="156"/>
        <v>0</v>
      </c>
      <c r="J610" s="67">
        <f t="shared" si="156"/>
        <v>0</v>
      </c>
      <c r="K610" s="67">
        <f t="shared" ref="H610:P632" si="158">IF(-K98&gt;J610,0,
IF(K98+J610-(K441-J441)&lt;0,0,K98+J610-(K441-J441)))</f>
        <v>0</v>
      </c>
      <c r="L610" s="67">
        <f t="shared" si="158"/>
        <v>0</v>
      </c>
      <c r="M610" s="67">
        <f t="shared" si="158"/>
        <v>544.7828300000001</v>
      </c>
      <c r="N610" s="67">
        <f t="shared" si="158"/>
        <v>522.47069658999112</v>
      </c>
      <c r="O610" s="67">
        <f t="shared" si="158"/>
        <v>500.15856317998214</v>
      </c>
      <c r="P610" s="67">
        <f t="shared" si="158"/>
        <v>477.84642976997316</v>
      </c>
    </row>
    <row r="611" spans="2:16" ht="13" hidden="1" outlineLevel="1" x14ac:dyDescent="0.3">
      <c r="B611" s="14"/>
      <c r="C611" s="13" t="str">
        <f t="shared" si="157"/>
        <v>Estudios y consultorías (simulación de maniobra, silo y otros)</v>
      </c>
      <c r="D611" s="12" t="s">
        <v>41</v>
      </c>
      <c r="E611" s="12" t="s">
        <v>56</v>
      </c>
      <c r="F611" s="69">
        <f t="shared" si="154"/>
        <v>1388.3827338644523</v>
      </c>
      <c r="G611" s="14"/>
      <c r="H611" s="67">
        <f t="shared" si="158"/>
        <v>0</v>
      </c>
      <c r="I611" s="67">
        <f t="shared" si="158"/>
        <v>0</v>
      </c>
      <c r="J611" s="67">
        <f t="shared" si="158"/>
        <v>0</v>
      </c>
      <c r="K611" s="67">
        <f t="shared" si="158"/>
        <v>0</v>
      </c>
      <c r="L611" s="67">
        <f t="shared" si="158"/>
        <v>0</v>
      </c>
      <c r="M611" s="67">
        <f t="shared" si="158"/>
        <v>369.81490000000002</v>
      </c>
      <c r="N611" s="67">
        <f t="shared" si="158"/>
        <v>354.66875564407542</v>
      </c>
      <c r="O611" s="67">
        <f t="shared" si="158"/>
        <v>339.52261128815081</v>
      </c>
      <c r="P611" s="67">
        <f t="shared" si="158"/>
        <v>324.37646693222621</v>
      </c>
    </row>
    <row r="612" spans="2:16" ht="13" hidden="1" outlineLevel="1" x14ac:dyDescent="0.3">
      <c r="B612" s="14"/>
      <c r="C612" s="13" t="str">
        <f t="shared" si="157"/>
        <v xml:space="preserve">Habilitación Urbana </v>
      </c>
      <c r="D612" s="12" t="s">
        <v>41</v>
      </c>
      <c r="E612" s="12" t="s">
        <v>56</v>
      </c>
      <c r="F612" s="69">
        <f t="shared" si="154"/>
        <v>203.02120679982048</v>
      </c>
      <c r="G612" s="14"/>
      <c r="H612" s="67">
        <f t="shared" si="158"/>
        <v>0</v>
      </c>
      <c r="I612" s="67">
        <f t="shared" si="158"/>
        <v>0</v>
      </c>
      <c r="J612" s="67">
        <f t="shared" si="158"/>
        <v>0</v>
      </c>
      <c r="K612" s="67">
        <f t="shared" si="158"/>
        <v>0</v>
      </c>
      <c r="L612" s="67">
        <f t="shared" si="158"/>
        <v>0</v>
      </c>
      <c r="M612" s="67">
        <f t="shared" si="158"/>
        <v>54.077500000000001</v>
      </c>
      <c r="N612" s="67">
        <f t="shared" si="158"/>
        <v>51.86270113330341</v>
      </c>
      <c r="O612" s="67">
        <f t="shared" si="158"/>
        <v>49.64790226660682</v>
      </c>
      <c r="P612" s="67">
        <f t="shared" si="158"/>
        <v>47.43310339991023</v>
      </c>
    </row>
    <row r="613" spans="2:16" ht="13" hidden="1" outlineLevel="1" x14ac:dyDescent="0.3">
      <c r="B613" s="14"/>
      <c r="C613" s="13" t="str">
        <f t="shared" si="157"/>
        <v>Endurecedor concreto y otras obras finales  - Etapas 1 y 2</v>
      </c>
      <c r="D613" s="12" t="s">
        <v>41</v>
      </c>
      <c r="E613" s="12" t="s">
        <v>56</v>
      </c>
      <c r="F613" s="69">
        <f t="shared" si="154"/>
        <v>3113.5869509986537</v>
      </c>
      <c r="G613" s="14"/>
      <c r="H613" s="67">
        <f t="shared" si="158"/>
        <v>0</v>
      </c>
      <c r="I613" s="67">
        <f t="shared" si="158"/>
        <v>0</v>
      </c>
      <c r="J613" s="67">
        <f t="shared" si="158"/>
        <v>0</v>
      </c>
      <c r="K613" s="67">
        <f t="shared" si="158"/>
        <v>0</v>
      </c>
      <c r="L613" s="67">
        <f t="shared" si="158"/>
        <v>0</v>
      </c>
      <c r="M613" s="67">
        <f t="shared" si="158"/>
        <v>829.34685000000002</v>
      </c>
      <c r="N613" s="67">
        <f t="shared" si="158"/>
        <v>795.38010849977559</v>
      </c>
      <c r="O613" s="67">
        <f t="shared" si="158"/>
        <v>761.41336699955116</v>
      </c>
      <c r="P613" s="67">
        <f t="shared" si="158"/>
        <v>727.44662549932673</v>
      </c>
    </row>
    <row r="614" spans="2:16" ht="13" hidden="1" outlineLevel="1" x14ac:dyDescent="0.3">
      <c r="B614" s="14"/>
      <c r="C614" s="13" t="str">
        <f t="shared" si="157"/>
        <v>Gastos área proyectos - Etapas 1 y 2</v>
      </c>
      <c r="D614" s="12" t="s">
        <v>41</v>
      </c>
      <c r="E614" s="12" t="s">
        <v>56</v>
      </c>
      <c r="F614" s="69">
        <f t="shared" si="154"/>
        <v>979.83645149012523</v>
      </c>
      <c r="G614" s="14"/>
      <c r="H614" s="67">
        <f t="shared" si="158"/>
        <v>0</v>
      </c>
      <c r="I614" s="67">
        <f t="shared" si="158"/>
        <v>0</v>
      </c>
      <c r="J614" s="67">
        <f t="shared" si="158"/>
        <v>0</v>
      </c>
      <c r="K614" s="67">
        <f t="shared" si="158"/>
        <v>0</v>
      </c>
      <c r="L614" s="67">
        <f t="shared" si="158"/>
        <v>0</v>
      </c>
      <c r="M614" s="67">
        <f t="shared" si="158"/>
        <v>260.99295999999987</v>
      </c>
      <c r="N614" s="67">
        <f t="shared" si="158"/>
        <v>250.30372858168749</v>
      </c>
      <c r="O614" s="67">
        <f t="shared" si="158"/>
        <v>239.61449716337512</v>
      </c>
      <c r="P614" s="67">
        <f t="shared" si="158"/>
        <v>228.92526574506275</v>
      </c>
    </row>
    <row r="615" spans="2:16" ht="13" hidden="1" outlineLevel="1" x14ac:dyDescent="0.3">
      <c r="B615" s="14"/>
      <c r="C615" s="13" t="str">
        <f t="shared" si="157"/>
        <v>Monitoreo arqueológico, reparación y movimientos - Etapas 1 y 2</v>
      </c>
      <c r="D615" s="12" t="s">
        <v>41</v>
      </c>
      <c r="E615" s="12" t="s">
        <v>56</v>
      </c>
      <c r="F615" s="69">
        <f t="shared" si="154"/>
        <v>803.22010907540403</v>
      </c>
      <c r="G615" s="14"/>
      <c r="H615" s="67">
        <f t="shared" si="158"/>
        <v>0</v>
      </c>
      <c r="I615" s="67">
        <f t="shared" si="158"/>
        <v>0</v>
      </c>
      <c r="J615" s="67">
        <f t="shared" si="158"/>
        <v>0</v>
      </c>
      <c r="K615" s="67">
        <f t="shared" si="158"/>
        <v>0</v>
      </c>
      <c r="L615" s="67">
        <f t="shared" si="158"/>
        <v>0</v>
      </c>
      <c r="M615" s="67">
        <f t="shared" si="158"/>
        <v>213.94876000000002</v>
      </c>
      <c r="N615" s="67">
        <f t="shared" si="158"/>
        <v>205.18627151256734</v>
      </c>
      <c r="O615" s="67">
        <f t="shared" si="158"/>
        <v>196.42378302513467</v>
      </c>
      <c r="P615" s="67">
        <f t="shared" si="158"/>
        <v>187.66129453770199</v>
      </c>
    </row>
    <row r="616" spans="2:16" ht="13" hidden="1" outlineLevel="1" x14ac:dyDescent="0.3">
      <c r="B616" s="14"/>
      <c r="C616" s="13" t="str">
        <f t="shared" si="157"/>
        <v>Gastos de impuesto a la renta por servicios terceros - Etapas 1 y 2</v>
      </c>
      <c r="D616" s="12" t="s">
        <v>41</v>
      </c>
      <c r="E616" s="12" t="s">
        <v>56</v>
      </c>
      <c r="F616" s="69">
        <f t="shared" si="154"/>
        <v>478.9812665686714</v>
      </c>
      <c r="G616" s="14"/>
      <c r="H616" s="67">
        <f t="shared" si="158"/>
        <v>0</v>
      </c>
      <c r="I616" s="67">
        <f t="shared" si="158"/>
        <v>0</v>
      </c>
      <c r="J616" s="67">
        <f t="shared" si="158"/>
        <v>0</v>
      </c>
      <c r="K616" s="67">
        <f t="shared" si="158"/>
        <v>0</v>
      </c>
      <c r="L616" s="67">
        <f t="shared" si="158"/>
        <v>0</v>
      </c>
      <c r="M616" s="67">
        <f t="shared" si="158"/>
        <v>127.58327</v>
      </c>
      <c r="N616" s="67">
        <f t="shared" si="158"/>
        <v>122.35796776144524</v>
      </c>
      <c r="O616" s="67">
        <f t="shared" si="158"/>
        <v>117.13266552289048</v>
      </c>
      <c r="P616" s="67">
        <f t="shared" si="158"/>
        <v>111.90736328433572</v>
      </c>
    </row>
    <row r="617" spans="2:16" ht="13" hidden="1" outlineLevel="1" x14ac:dyDescent="0.3">
      <c r="B617" s="14"/>
      <c r="C617" s="13" t="str">
        <f t="shared" si="157"/>
        <v>Préstamo I y II (intereses)</v>
      </c>
      <c r="D617" s="12" t="s">
        <v>41</v>
      </c>
      <c r="E617" s="12" t="s">
        <v>56</v>
      </c>
      <c r="F617" s="69">
        <f t="shared" si="154"/>
        <v>4966.8622876997315</v>
      </c>
      <c r="G617" s="14"/>
      <c r="H617" s="67">
        <f t="shared" si="158"/>
        <v>0</v>
      </c>
      <c r="I617" s="67">
        <f t="shared" si="158"/>
        <v>0</v>
      </c>
      <c r="J617" s="67">
        <f t="shared" si="158"/>
        <v>0</v>
      </c>
      <c r="K617" s="67">
        <f t="shared" si="158"/>
        <v>0</v>
      </c>
      <c r="L617" s="67">
        <f t="shared" si="158"/>
        <v>0</v>
      </c>
      <c r="M617" s="67">
        <f t="shared" si="158"/>
        <v>1322.9923100000001</v>
      </c>
      <c r="N617" s="67">
        <f t="shared" si="158"/>
        <v>1268.8078179499553</v>
      </c>
      <c r="O617" s="67">
        <f t="shared" si="158"/>
        <v>1214.6233258999105</v>
      </c>
      <c r="P617" s="67">
        <f t="shared" si="158"/>
        <v>1160.4388338498657</v>
      </c>
    </row>
    <row r="618" spans="2:16" ht="13" hidden="1" outlineLevel="1" x14ac:dyDescent="0.3">
      <c r="B618" s="14"/>
      <c r="C618" s="13" t="str">
        <f t="shared" si="157"/>
        <v>Asesoría Tecnica DAB (construccion Fases 1 &amp; 2)</v>
      </c>
      <c r="D618" s="12" t="s">
        <v>41</v>
      </c>
      <c r="E618" s="12" t="s">
        <v>56</v>
      </c>
      <c r="F618" s="69">
        <f t="shared" si="154"/>
        <v>39.419771095152605</v>
      </c>
      <c r="G618" s="14"/>
      <c r="H618" s="67">
        <f t="shared" si="158"/>
        <v>0</v>
      </c>
      <c r="I618" s="67">
        <f t="shared" si="158"/>
        <v>0</v>
      </c>
      <c r="J618" s="67">
        <f t="shared" si="158"/>
        <v>0</v>
      </c>
      <c r="K618" s="67">
        <f t="shared" si="158"/>
        <v>0</v>
      </c>
      <c r="L618" s="67">
        <f t="shared" si="158"/>
        <v>0</v>
      </c>
      <c r="M618" s="67">
        <f t="shared" si="158"/>
        <v>10.5</v>
      </c>
      <c r="N618" s="67">
        <f t="shared" si="158"/>
        <v>10.069961849192101</v>
      </c>
      <c r="O618" s="67">
        <f t="shared" si="158"/>
        <v>9.6399236983842016</v>
      </c>
      <c r="P618" s="67">
        <f t="shared" si="158"/>
        <v>9.2098855475763024</v>
      </c>
    </row>
    <row r="619" spans="2:16" ht="13" hidden="1" outlineLevel="1" x14ac:dyDescent="0.3">
      <c r="B619" s="14"/>
      <c r="C619" s="13" t="str">
        <f t="shared" si="157"/>
        <v>Tasa de tramitación y comisión IFC</v>
      </c>
      <c r="D619" s="12" t="s">
        <v>41</v>
      </c>
      <c r="E619" s="12" t="s">
        <v>56</v>
      </c>
      <c r="F619" s="69">
        <f t="shared" si="154"/>
        <v>229.04137176166967</v>
      </c>
      <c r="G619" s="14"/>
      <c r="H619" s="67">
        <f t="shared" si="158"/>
        <v>0</v>
      </c>
      <c r="I619" s="67">
        <f t="shared" si="158"/>
        <v>0</v>
      </c>
      <c r="J619" s="67">
        <f t="shared" si="158"/>
        <v>0</v>
      </c>
      <c r="K619" s="67">
        <f t="shared" si="158"/>
        <v>0</v>
      </c>
      <c r="L619" s="67">
        <f t="shared" si="158"/>
        <v>0</v>
      </c>
      <c r="M619" s="67">
        <f t="shared" si="158"/>
        <v>61.008330000000001</v>
      </c>
      <c r="N619" s="67">
        <f t="shared" si="158"/>
        <v>58.509671960278276</v>
      </c>
      <c r="O619" s="67">
        <f t="shared" si="158"/>
        <v>56.01101392055655</v>
      </c>
      <c r="P619" s="67">
        <f t="shared" si="158"/>
        <v>53.512355880834825</v>
      </c>
    </row>
    <row r="620" spans="2:16" ht="13" hidden="1" outlineLevel="1" x14ac:dyDescent="0.3">
      <c r="B620" s="14"/>
      <c r="C620" s="13" t="str">
        <f t="shared" si="157"/>
        <v>Impuesto Predial Municipalidad del Callao</v>
      </c>
      <c r="D620" s="12" t="s">
        <v>41</v>
      </c>
      <c r="E620" s="12" t="s">
        <v>56</v>
      </c>
      <c r="F620" s="69">
        <f t="shared" si="154"/>
        <v>1498.5811169299818</v>
      </c>
      <c r="G620" s="14"/>
      <c r="H620" s="67">
        <f t="shared" si="158"/>
        <v>0</v>
      </c>
      <c r="I620" s="67">
        <f t="shared" si="158"/>
        <v>0</v>
      </c>
      <c r="J620" s="67">
        <f t="shared" si="158"/>
        <v>0</v>
      </c>
      <c r="K620" s="67">
        <f t="shared" si="158"/>
        <v>0</v>
      </c>
      <c r="L620" s="67">
        <f t="shared" si="158"/>
        <v>0</v>
      </c>
      <c r="M620" s="67">
        <f t="shared" si="158"/>
        <v>399.16775999999999</v>
      </c>
      <c r="N620" s="67">
        <f t="shared" si="158"/>
        <v>382.81943948833032</v>
      </c>
      <c r="O620" s="67">
        <f t="shared" si="158"/>
        <v>366.47111897666065</v>
      </c>
      <c r="P620" s="67">
        <f t="shared" si="158"/>
        <v>350.12279846499098</v>
      </c>
    </row>
    <row r="621" spans="2:16" ht="13" hidden="1" outlineLevel="1" x14ac:dyDescent="0.3">
      <c r="B621" s="14"/>
      <c r="C621" s="13" t="str">
        <f t="shared" ref="C621:C662" si="159">+C281</f>
        <v>Póliza de Seguro Todo Riesgo - Construcción - Etapas 1 y 2</v>
      </c>
      <c r="D621" s="12" t="s">
        <v>41</v>
      </c>
      <c r="E621" s="12" t="s">
        <v>56</v>
      </c>
      <c r="F621" s="69">
        <f t="shared" si="154"/>
        <v>11660.424040765261</v>
      </c>
      <c r="G621" s="14"/>
      <c r="H621" s="67">
        <f t="shared" si="158"/>
        <v>0</v>
      </c>
      <c r="I621" s="67">
        <f t="shared" si="158"/>
        <v>0</v>
      </c>
      <c r="J621" s="67">
        <f t="shared" si="158"/>
        <v>0</v>
      </c>
      <c r="K621" s="67">
        <f t="shared" si="158"/>
        <v>0</v>
      </c>
      <c r="L621" s="67">
        <f t="shared" si="158"/>
        <v>0</v>
      </c>
      <c r="M621" s="67">
        <f t="shared" si="158"/>
        <v>3105.9148500000001</v>
      </c>
      <c r="N621" s="67">
        <f t="shared" si="158"/>
        <v>2978.7089567942103</v>
      </c>
      <c r="O621" s="67">
        <f t="shared" si="158"/>
        <v>2851.5030635884204</v>
      </c>
      <c r="P621" s="67">
        <f t="shared" si="158"/>
        <v>2724.2971703826306</v>
      </c>
    </row>
    <row r="622" spans="2:16" ht="13" hidden="1" outlineLevel="1" x14ac:dyDescent="0.3">
      <c r="B622" s="14"/>
      <c r="C622" s="13" t="str">
        <f t="shared" si="159"/>
        <v>Implementación Acceso Atalaya</v>
      </c>
      <c r="D622" s="12" t="s">
        <v>41</v>
      </c>
      <c r="E622" s="12" t="s">
        <v>56</v>
      </c>
      <c r="F622" s="69">
        <f t="shared" si="154"/>
        <v>118.72283335500281</v>
      </c>
      <c r="G622" s="14"/>
      <c r="H622" s="67">
        <f t="shared" si="158"/>
        <v>0</v>
      </c>
      <c r="I622" s="67">
        <f t="shared" si="158"/>
        <v>0</v>
      </c>
      <c r="J622" s="67">
        <f t="shared" si="158"/>
        <v>0</v>
      </c>
      <c r="K622" s="67">
        <f t="shared" si="158"/>
        <v>0</v>
      </c>
      <c r="L622" s="67">
        <f t="shared" si="158"/>
        <v>0</v>
      </c>
      <c r="M622" s="67">
        <f t="shared" si="158"/>
        <v>0</v>
      </c>
      <c r="N622" s="67">
        <f t="shared" si="158"/>
        <v>41.341022629545876</v>
      </c>
      <c r="O622" s="67">
        <f t="shared" si="158"/>
        <v>39.574277785000938</v>
      </c>
      <c r="P622" s="67">
        <f t="shared" si="158"/>
        <v>37.807532940455999</v>
      </c>
    </row>
    <row r="623" spans="2:16" ht="13" hidden="1" outlineLevel="1" x14ac:dyDescent="0.3">
      <c r="B623" s="14"/>
      <c r="C623" s="13" t="str">
        <f t="shared" si="159"/>
        <v>Trabajos y supervisión - levantamiento observaciones Etapas 1 y 2</v>
      </c>
      <c r="D623" s="12" t="s">
        <v>41</v>
      </c>
      <c r="E623" s="12" t="s">
        <v>56</v>
      </c>
      <c r="F623" s="69">
        <f t="shared" si="154"/>
        <v>955.09648463276835</v>
      </c>
      <c r="G623" s="14"/>
      <c r="H623" s="67">
        <f t="shared" si="158"/>
        <v>0</v>
      </c>
      <c r="I623" s="67">
        <f t="shared" si="158"/>
        <v>0</v>
      </c>
      <c r="J623" s="67">
        <f t="shared" si="158"/>
        <v>0</v>
      </c>
      <c r="K623" s="67">
        <f t="shared" si="158"/>
        <v>0</v>
      </c>
      <c r="L623" s="67">
        <f t="shared" si="158"/>
        <v>0</v>
      </c>
      <c r="M623" s="67">
        <f t="shared" si="158"/>
        <v>0</v>
      </c>
      <c r="N623" s="67">
        <f t="shared" si="158"/>
        <v>332.56984312617698</v>
      </c>
      <c r="O623" s="67">
        <f t="shared" si="158"/>
        <v>318.36549487758941</v>
      </c>
      <c r="P623" s="67">
        <f t="shared" si="158"/>
        <v>304.16114662900185</v>
      </c>
    </row>
    <row r="624" spans="2:16" ht="13" hidden="1" outlineLevel="1" x14ac:dyDescent="0.3">
      <c r="B624" s="14"/>
      <c r="C624" s="13" t="str">
        <f t="shared" si="159"/>
        <v>EIA - levantamiento observaciones Etapas 1 y 2</v>
      </c>
      <c r="D624" s="12" t="s">
        <v>41</v>
      </c>
      <c r="E624" s="12" t="s">
        <v>56</v>
      </c>
      <c r="F624" s="69">
        <f t="shared" si="154"/>
        <v>464.63238286830847</v>
      </c>
      <c r="G624" s="14"/>
      <c r="H624" s="67">
        <f t="shared" si="158"/>
        <v>0</v>
      </c>
      <c r="I624" s="67">
        <f t="shared" si="158"/>
        <v>0</v>
      </c>
      <c r="J624" s="67">
        <f t="shared" si="158"/>
        <v>0</v>
      </c>
      <c r="K624" s="67">
        <f t="shared" si="158"/>
        <v>0</v>
      </c>
      <c r="L624" s="67">
        <f t="shared" si="158"/>
        <v>0</v>
      </c>
      <c r="M624" s="67">
        <f t="shared" si="158"/>
        <v>0</v>
      </c>
      <c r="N624" s="67">
        <f t="shared" si="158"/>
        <v>0</v>
      </c>
      <c r="O624" s="67">
        <f t="shared" si="158"/>
        <v>237.60736151621757</v>
      </c>
      <c r="P624" s="67">
        <f t="shared" si="158"/>
        <v>227.02502135209093</v>
      </c>
    </row>
    <row r="625" spans="2:16" ht="13" hidden="1" outlineLevel="1" x14ac:dyDescent="0.3">
      <c r="B625" s="14"/>
      <c r="C625" s="13" t="str">
        <f t="shared" si="159"/>
        <v>Asesorías - cierre DAB (consorcio JJCC)</v>
      </c>
      <c r="D625" s="12" t="s">
        <v>41</v>
      </c>
      <c r="E625" s="12" t="s">
        <v>56</v>
      </c>
      <c r="F625" s="69">
        <f t="shared" si="154"/>
        <v>70.217035375706232</v>
      </c>
      <c r="G625" s="14"/>
      <c r="H625" s="67">
        <f t="shared" si="158"/>
        <v>0</v>
      </c>
      <c r="I625" s="67">
        <f t="shared" si="158"/>
        <v>0</v>
      </c>
      <c r="J625" s="67">
        <f t="shared" si="158"/>
        <v>0</v>
      </c>
      <c r="K625" s="67">
        <f t="shared" si="158"/>
        <v>0</v>
      </c>
      <c r="L625" s="67">
        <f t="shared" si="158"/>
        <v>0</v>
      </c>
      <c r="M625" s="67">
        <f t="shared" si="158"/>
        <v>0</v>
      </c>
      <c r="N625" s="67">
        <f t="shared" si="158"/>
        <v>24.449957481167612</v>
      </c>
      <c r="O625" s="67">
        <f t="shared" si="158"/>
        <v>23.405678458568744</v>
      </c>
      <c r="P625" s="67">
        <f t="shared" si="158"/>
        <v>22.361399435969872</v>
      </c>
    </row>
    <row r="626" spans="2:16" ht="13" hidden="1" outlineLevel="1" x14ac:dyDescent="0.3">
      <c r="B626" s="14"/>
      <c r="C626" s="13" t="str">
        <f t="shared" si="159"/>
        <v>Soporte Claim Management Services - DAB</v>
      </c>
      <c r="D626" s="12" t="s">
        <v>41</v>
      </c>
      <c r="E626" s="12" t="s">
        <v>56</v>
      </c>
      <c r="F626" s="69">
        <f t="shared" si="154"/>
        <v>2432.1708737090394</v>
      </c>
      <c r="G626" s="14"/>
      <c r="H626" s="67">
        <f t="shared" si="158"/>
        <v>0</v>
      </c>
      <c r="I626" s="67">
        <f t="shared" si="158"/>
        <v>0</v>
      </c>
      <c r="J626" s="67">
        <f t="shared" si="158"/>
        <v>0</v>
      </c>
      <c r="K626" s="67">
        <f t="shared" si="158"/>
        <v>0</v>
      </c>
      <c r="L626" s="67">
        <f t="shared" si="158"/>
        <v>0</v>
      </c>
      <c r="M626" s="67">
        <f t="shared" si="158"/>
        <v>0</v>
      </c>
      <c r="N626" s="67">
        <f t="shared" si="158"/>
        <v>846.89526025894531</v>
      </c>
      <c r="O626" s="67">
        <f t="shared" si="158"/>
        <v>810.72362456967983</v>
      </c>
      <c r="P626" s="67">
        <f t="shared" si="158"/>
        <v>774.55198888041434</v>
      </c>
    </row>
    <row r="627" spans="2:16" ht="13" hidden="1" outlineLevel="1" x14ac:dyDescent="0.3">
      <c r="B627" s="14"/>
      <c r="C627" s="13" t="str">
        <f t="shared" si="159"/>
        <v>Viáticos  personal proceso DAB</v>
      </c>
      <c r="D627" s="12" t="s">
        <v>41</v>
      </c>
      <c r="E627" s="12" t="s">
        <v>56</v>
      </c>
      <c r="F627" s="69">
        <f t="shared" si="154"/>
        <v>144.36466998587571</v>
      </c>
      <c r="G627" s="14"/>
      <c r="H627" s="67">
        <f t="shared" si="158"/>
        <v>0</v>
      </c>
      <c r="I627" s="67">
        <f t="shared" si="158"/>
        <v>0</v>
      </c>
      <c r="J627" s="67">
        <f t="shared" si="158"/>
        <v>0</v>
      </c>
      <c r="K627" s="67">
        <f t="shared" si="158"/>
        <v>0</v>
      </c>
      <c r="L627" s="67">
        <f t="shared" si="158"/>
        <v>0</v>
      </c>
      <c r="M627" s="67">
        <f t="shared" si="158"/>
        <v>0</v>
      </c>
      <c r="N627" s="67">
        <f t="shared" si="158"/>
        <v>50.268571209981161</v>
      </c>
      <c r="O627" s="67">
        <f t="shared" si="158"/>
        <v>48.121556661958564</v>
      </c>
      <c r="P627" s="67">
        <f t="shared" si="158"/>
        <v>45.974542113935968</v>
      </c>
    </row>
    <row r="628" spans="2:16" ht="13" hidden="1" outlineLevel="1" x14ac:dyDescent="0.3">
      <c r="B628" s="14"/>
      <c r="C628" s="13" t="str">
        <f t="shared" si="159"/>
        <v>Reembolso a Consorcio FCC-JJC por gastos incurridos - proceso DAB</v>
      </c>
      <c r="D628" s="12" t="s">
        <v>41</v>
      </c>
      <c r="E628" s="12" t="s">
        <v>56</v>
      </c>
      <c r="F628" s="69">
        <f t="shared" ref="F628:F632" si="160">+SUM(H628:P628)</f>
        <v>1162.0825219632768</v>
      </c>
      <c r="G628" s="14"/>
      <c r="H628" s="67">
        <f t="shared" si="158"/>
        <v>0</v>
      </c>
      <c r="I628" s="67">
        <f t="shared" si="158"/>
        <v>0</v>
      </c>
      <c r="J628" s="67">
        <f t="shared" si="158"/>
        <v>0</v>
      </c>
      <c r="K628" s="67">
        <f t="shared" si="158"/>
        <v>0</v>
      </c>
      <c r="L628" s="67">
        <f t="shared" si="158"/>
        <v>0</v>
      </c>
      <c r="M628" s="67">
        <f t="shared" si="158"/>
        <v>0</v>
      </c>
      <c r="N628" s="67">
        <f t="shared" si="158"/>
        <v>404.64351847928435</v>
      </c>
      <c r="O628" s="67">
        <f t="shared" si="158"/>
        <v>387.3608406544256</v>
      </c>
      <c r="P628" s="67">
        <f t="shared" si="158"/>
        <v>370.07816282956685</v>
      </c>
    </row>
    <row r="629" spans="2:16" ht="13" hidden="1" outlineLevel="1" x14ac:dyDescent="0.3">
      <c r="B629" s="14"/>
      <c r="C629" s="13" t="str">
        <f t="shared" si="159"/>
        <v>Gastos de IR asumidos por asesoría con el DAB</v>
      </c>
      <c r="D629" s="12" t="s">
        <v>41</v>
      </c>
      <c r="E629" s="12" t="s">
        <v>56</v>
      </c>
      <c r="F629" s="69">
        <f t="shared" si="160"/>
        <v>810.90804920903952</v>
      </c>
      <c r="G629" s="14"/>
      <c r="H629" s="67">
        <f t="shared" si="158"/>
        <v>0</v>
      </c>
      <c r="I629" s="67">
        <f t="shared" si="158"/>
        <v>0</v>
      </c>
      <c r="J629" s="67">
        <f t="shared" si="158"/>
        <v>0</v>
      </c>
      <c r="K629" s="67">
        <f t="shared" si="158"/>
        <v>0</v>
      </c>
      <c r="L629" s="67">
        <f t="shared" si="158"/>
        <v>0</v>
      </c>
      <c r="M629" s="67">
        <f t="shared" si="158"/>
        <v>0</v>
      </c>
      <c r="N629" s="67">
        <f t="shared" si="158"/>
        <v>282.36263775894537</v>
      </c>
      <c r="O629" s="67">
        <f t="shared" si="158"/>
        <v>270.30268306967986</v>
      </c>
      <c r="P629" s="67">
        <f t="shared" si="158"/>
        <v>258.24272838041435</v>
      </c>
    </row>
    <row r="630" spans="2:16" ht="13" hidden="1" outlineLevel="1" x14ac:dyDescent="0.3">
      <c r="B630" s="14"/>
      <c r="C630" s="13" t="str">
        <f t="shared" si="159"/>
        <v>Taller de mantenimiento</v>
      </c>
      <c r="D630" s="12" t="s">
        <v>41</v>
      </c>
      <c r="E630" s="12" t="s">
        <v>56</v>
      </c>
      <c r="F630" s="69">
        <f t="shared" si="160"/>
        <v>2155.3478897156724</v>
      </c>
      <c r="G630" s="14"/>
      <c r="H630" s="67">
        <f t="shared" si="158"/>
        <v>0</v>
      </c>
      <c r="I630" s="67">
        <f t="shared" si="158"/>
        <v>0</v>
      </c>
      <c r="J630" s="67">
        <f t="shared" si="158"/>
        <v>0</v>
      </c>
      <c r="K630" s="67">
        <f t="shared" si="158"/>
        <v>0</v>
      </c>
      <c r="L630" s="67">
        <f t="shared" si="158"/>
        <v>0</v>
      </c>
      <c r="M630" s="67">
        <f t="shared" si="158"/>
        <v>0</v>
      </c>
      <c r="N630" s="67">
        <f t="shared" si="158"/>
        <v>750.44563531437814</v>
      </c>
      <c r="O630" s="67">
        <f t="shared" si="158"/>
        <v>718.44929657189084</v>
      </c>
      <c r="P630" s="67">
        <f t="shared" si="158"/>
        <v>686.45295782940354</v>
      </c>
    </row>
    <row r="631" spans="2:16" ht="13" hidden="1" outlineLevel="1" x14ac:dyDescent="0.3">
      <c r="B631" s="14"/>
      <c r="C631" s="13" t="str">
        <f t="shared" si="159"/>
        <v>Edificio amenidades, Mobiliario e instalaciones Equipo IT</v>
      </c>
      <c r="D631" s="12" t="s">
        <v>41</v>
      </c>
      <c r="E631" s="12" t="s">
        <v>56</v>
      </c>
      <c r="F631" s="69">
        <f t="shared" si="160"/>
        <v>518.15293078571426</v>
      </c>
      <c r="G631" s="14"/>
      <c r="H631" s="67">
        <f t="shared" si="158"/>
        <v>0</v>
      </c>
      <c r="I631" s="67">
        <f t="shared" si="158"/>
        <v>0</v>
      </c>
      <c r="J631" s="67">
        <f t="shared" si="158"/>
        <v>0</v>
      </c>
      <c r="K631" s="67">
        <f t="shared" si="158"/>
        <v>0</v>
      </c>
      <c r="L631" s="67">
        <f t="shared" si="158"/>
        <v>0</v>
      </c>
      <c r="M631" s="67">
        <f t="shared" si="158"/>
        <v>171.28061514087301</v>
      </c>
      <c r="N631" s="67">
        <f t="shared" si="158"/>
        <v>142.93212230753969</v>
      </c>
      <c r="O631" s="67">
        <f t="shared" si="158"/>
        <v>114.58362947420636</v>
      </c>
      <c r="P631" s="67">
        <f t="shared" si="158"/>
        <v>89.356563863095261</v>
      </c>
    </row>
    <row r="632" spans="2:16" ht="13" hidden="1" outlineLevel="1" x14ac:dyDescent="0.3">
      <c r="B632" s="14"/>
      <c r="C632" s="13" t="str">
        <f t="shared" si="159"/>
        <v>Taller de mantenimiento &amp; Equipo Mantenimiento</v>
      </c>
      <c r="D632" s="12" t="s">
        <v>41</v>
      </c>
      <c r="E632" s="12" t="s">
        <v>56</v>
      </c>
      <c r="F632" s="69">
        <f t="shared" si="160"/>
        <v>658.52073514285507</v>
      </c>
      <c r="G632" s="14"/>
      <c r="H632" s="67">
        <f t="shared" si="158"/>
        <v>0</v>
      </c>
      <c r="I632" s="67">
        <f t="shared" si="158"/>
        <v>0</v>
      </c>
      <c r="J632" s="67">
        <f t="shared" si="158"/>
        <v>0</v>
      </c>
      <c r="K632" s="67">
        <f t="shared" si="158"/>
        <v>0</v>
      </c>
      <c r="L632" s="67">
        <f t="shared" si="158"/>
        <v>0</v>
      </c>
      <c r="M632" s="67">
        <f t="shared" si="158"/>
        <v>202.38293999999948</v>
      </c>
      <c r="N632" s="67">
        <f t="shared" si="158"/>
        <v>177.21443585714235</v>
      </c>
      <c r="O632" s="67">
        <f t="shared" si="158"/>
        <v>152.04593171428522</v>
      </c>
      <c r="P632" s="67">
        <f t="shared" si="158"/>
        <v>126.87742757142809</v>
      </c>
    </row>
    <row r="633" spans="2:16" ht="13" collapsed="1" x14ac:dyDescent="0.3">
      <c r="B633" s="14"/>
      <c r="C633" s="13"/>
      <c r="D633" s="13"/>
      <c r="E633" s="12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2:16" ht="13" x14ac:dyDescent="0.3">
      <c r="B634" s="14" t="str">
        <f>+B294</f>
        <v>Intangibles (equipo - IPME)</v>
      </c>
      <c r="C634" s="13"/>
      <c r="D634" s="13"/>
      <c r="E634" s="12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2:16" ht="13" hidden="1" outlineLevel="1" x14ac:dyDescent="0.3">
      <c r="B635" s="14"/>
      <c r="C635" s="13" t="str">
        <f t="shared" si="159"/>
        <v xml:space="preserve">Grúas móviles (MHC) </v>
      </c>
      <c r="D635" s="12" t="s">
        <v>41</v>
      </c>
      <c r="E635" s="12" t="s">
        <v>56</v>
      </c>
      <c r="F635" s="69">
        <f t="shared" ref="F635:F687" si="161">+SUM(H635:P635)</f>
        <v>110833.04787733335</v>
      </c>
      <c r="G635" s="14"/>
      <c r="H635" s="67">
        <f t="shared" ref="H635:P635" si="162">IF(-H123&gt;G635,0,
IF(H123+G635-(H466-G466)&lt;0,0,H123+G635-(H466-G466)))</f>
        <v>0</v>
      </c>
      <c r="I635" s="67">
        <f t="shared" si="162"/>
        <v>0</v>
      </c>
      <c r="J635" s="67">
        <f t="shared" si="162"/>
        <v>10160.34172</v>
      </c>
      <c r="K635" s="67">
        <f t="shared" si="162"/>
        <v>20447.534752888889</v>
      </c>
      <c r="L635" s="67">
        <f t="shared" si="162"/>
        <v>18980.034595555557</v>
      </c>
      <c r="M635" s="67">
        <f t="shared" si="162"/>
        <v>17512.534438222225</v>
      </c>
      <c r="N635" s="67">
        <f t="shared" si="162"/>
        <v>16045.034280888891</v>
      </c>
      <c r="O635" s="67">
        <f t="shared" si="162"/>
        <v>14577.534123555557</v>
      </c>
      <c r="P635" s="67">
        <f t="shared" si="162"/>
        <v>13110.033966222223</v>
      </c>
    </row>
    <row r="636" spans="2:16" ht="13" hidden="1" outlineLevel="1" x14ac:dyDescent="0.3">
      <c r="B636" s="14"/>
      <c r="C636" s="13" t="str">
        <f t="shared" si="159"/>
        <v xml:space="preserve">Empty handler (EH) </v>
      </c>
      <c r="D636" s="12" t="s">
        <v>41</v>
      </c>
      <c r="E636" s="12" t="s">
        <v>56</v>
      </c>
      <c r="F636" s="69">
        <f t="shared" si="161"/>
        <v>2086.1566809999999</v>
      </c>
      <c r="G636" s="14"/>
      <c r="H636" s="67">
        <f t="shared" ref="H636:P636" si="163">IF(-H124&gt;G636,0,
IF(H124+G636-(H467-G467)&lt;0,0,H124+G636-(H467-G467)))</f>
        <v>0</v>
      </c>
      <c r="I636" s="67">
        <f t="shared" si="163"/>
        <v>0</v>
      </c>
      <c r="J636" s="67">
        <f t="shared" si="163"/>
        <v>443.00624500000004</v>
      </c>
      <c r="K636" s="67">
        <f t="shared" si="163"/>
        <v>394.678291</v>
      </c>
      <c r="L636" s="67">
        <f t="shared" si="163"/>
        <v>346.35033699999997</v>
      </c>
      <c r="M636" s="67">
        <f t="shared" si="163"/>
        <v>298.02238299999999</v>
      </c>
      <c r="N636" s="67">
        <f t="shared" si="163"/>
        <v>249.69442899999999</v>
      </c>
      <c r="O636" s="67">
        <f t="shared" si="163"/>
        <v>201.36647499999995</v>
      </c>
      <c r="P636" s="67">
        <f t="shared" si="163"/>
        <v>153.03852099999997</v>
      </c>
    </row>
    <row r="637" spans="2:16" ht="13" hidden="1" outlineLevel="1" x14ac:dyDescent="0.3">
      <c r="B637" s="14"/>
      <c r="C637" s="13" t="str">
        <f t="shared" si="159"/>
        <v xml:space="preserve">Reach Stacker (RS) </v>
      </c>
      <c r="D637" s="12" t="s">
        <v>41</v>
      </c>
      <c r="E637" s="12" t="s">
        <v>56</v>
      </c>
      <c r="F637" s="69">
        <f t="shared" si="161"/>
        <v>12751.887273416665</v>
      </c>
      <c r="G637" s="14"/>
      <c r="H637" s="67">
        <f t="shared" ref="H637:P637" si="164">IF(-H125&gt;G637,0,
IF(H125+G637-(H468-G468)&lt;0,0,H125+G637-(H468-G468)))</f>
        <v>0</v>
      </c>
      <c r="I637" s="67">
        <f t="shared" si="164"/>
        <v>0</v>
      </c>
      <c r="J637" s="67">
        <f t="shared" si="164"/>
        <v>2683.0398339166668</v>
      </c>
      <c r="K637" s="67">
        <f t="shared" si="164"/>
        <v>2395.9259499166669</v>
      </c>
      <c r="L637" s="67">
        <f t="shared" si="164"/>
        <v>2108.8120659166671</v>
      </c>
      <c r="M637" s="67">
        <f t="shared" si="164"/>
        <v>1821.698181916667</v>
      </c>
      <c r="N637" s="67">
        <f t="shared" si="164"/>
        <v>1534.5842979166669</v>
      </c>
      <c r="O637" s="67">
        <f t="shared" si="164"/>
        <v>1247.4704139166668</v>
      </c>
      <c r="P637" s="67">
        <f t="shared" si="164"/>
        <v>960.35652991666666</v>
      </c>
    </row>
    <row r="638" spans="2:16" ht="13" hidden="1" outlineLevel="1" x14ac:dyDescent="0.3">
      <c r="B638" s="14"/>
      <c r="C638" s="13" t="str">
        <f t="shared" si="159"/>
        <v>Bulldozer</v>
      </c>
      <c r="D638" s="12" t="s">
        <v>41</v>
      </c>
      <c r="E638" s="12" t="s">
        <v>56</v>
      </c>
      <c r="F638" s="69">
        <f t="shared" si="161"/>
        <v>1393.2462171428572</v>
      </c>
      <c r="G638" s="14"/>
      <c r="H638" s="67">
        <f t="shared" ref="H638:P638" si="165">IF(-H126&gt;G638,0,
IF(H126+G638-(H469-G469)&lt;0,0,H126+G638-(H469-G469)))</f>
        <v>0</v>
      </c>
      <c r="I638" s="67">
        <f t="shared" si="165"/>
        <v>0</v>
      </c>
      <c r="J638" s="67">
        <f t="shared" si="165"/>
        <v>0</v>
      </c>
      <c r="K638" s="67">
        <f t="shared" si="165"/>
        <v>377.33751714285717</v>
      </c>
      <c r="L638" s="67">
        <f t="shared" si="165"/>
        <v>319.28559142857148</v>
      </c>
      <c r="M638" s="67">
        <f t="shared" si="165"/>
        <v>261.23366571428573</v>
      </c>
      <c r="N638" s="67">
        <f t="shared" si="165"/>
        <v>203.18174000000002</v>
      </c>
      <c r="O638" s="67">
        <f t="shared" si="165"/>
        <v>145.1298142857143</v>
      </c>
      <c r="P638" s="67">
        <f t="shared" si="165"/>
        <v>87.077888571428559</v>
      </c>
    </row>
    <row r="639" spans="2:16" ht="13" hidden="1" outlineLevel="1" x14ac:dyDescent="0.3">
      <c r="B639" s="14"/>
      <c r="C639" s="13" t="str">
        <f t="shared" si="159"/>
        <v>Camionetas pick up</v>
      </c>
      <c r="D639" s="12" t="s">
        <v>41</v>
      </c>
      <c r="E639" s="12" t="s">
        <v>56</v>
      </c>
      <c r="F639" s="69">
        <f t="shared" si="161"/>
        <v>106.97032500000003</v>
      </c>
      <c r="G639" s="14"/>
      <c r="H639" s="67">
        <f t="shared" ref="H639:P639" si="166">IF(-H127&gt;G639,0,
IF(H127+G639-(H470-G470)&lt;0,0,H127+G639-(H470-G470)))</f>
        <v>0</v>
      </c>
      <c r="I639" s="67">
        <f t="shared" si="166"/>
        <v>0</v>
      </c>
      <c r="J639" s="67">
        <f t="shared" si="166"/>
        <v>0</v>
      </c>
      <c r="K639" s="67">
        <f t="shared" si="166"/>
        <v>36.953385000000004</v>
      </c>
      <c r="L639" s="67">
        <f t="shared" si="166"/>
        <v>29.173725000000005</v>
      </c>
      <c r="M639" s="67">
        <f t="shared" si="166"/>
        <v>21.394065000000005</v>
      </c>
      <c r="N639" s="67">
        <f t="shared" si="166"/>
        <v>13.614405000000005</v>
      </c>
      <c r="O639" s="67">
        <f t="shared" si="166"/>
        <v>5.8347450000000052</v>
      </c>
      <c r="P639" s="67">
        <f t="shared" si="166"/>
        <v>0</v>
      </c>
    </row>
    <row r="640" spans="2:16" ht="13" hidden="1" outlineLevel="1" x14ac:dyDescent="0.3">
      <c r="B640" s="14"/>
      <c r="C640" s="13" t="str">
        <f t="shared" si="159"/>
        <v>Camionetas panel</v>
      </c>
      <c r="D640" s="12" t="s">
        <v>41</v>
      </c>
      <c r="E640" s="12" t="s">
        <v>56</v>
      </c>
      <c r="F640" s="69">
        <f t="shared" si="161"/>
        <v>131.44064999999998</v>
      </c>
      <c r="G640" s="14"/>
      <c r="H640" s="67">
        <f t="shared" ref="H640:P640" si="167">IF(-H128&gt;G640,0,
IF(H128+G640-(H471-G471)&lt;0,0,H128+G640-(H471-G471)))</f>
        <v>0</v>
      </c>
      <c r="I640" s="67">
        <f t="shared" si="167"/>
        <v>0</v>
      </c>
      <c r="J640" s="67">
        <f t="shared" si="167"/>
        <v>0</v>
      </c>
      <c r="K640" s="67">
        <f t="shared" si="167"/>
        <v>45.406769999999995</v>
      </c>
      <c r="L640" s="67">
        <f t="shared" si="167"/>
        <v>35.847449999999995</v>
      </c>
      <c r="M640" s="67">
        <f t="shared" si="167"/>
        <v>26.288129999999995</v>
      </c>
      <c r="N640" s="67">
        <f t="shared" si="167"/>
        <v>16.728809999999996</v>
      </c>
      <c r="O640" s="67">
        <f t="shared" si="167"/>
        <v>7.1694899999999926</v>
      </c>
      <c r="P640" s="67">
        <f t="shared" si="167"/>
        <v>0</v>
      </c>
    </row>
    <row r="641" spans="2:16" ht="13" hidden="1" outlineLevel="1" x14ac:dyDescent="0.3">
      <c r="B641" s="14"/>
      <c r="C641" s="13" t="str">
        <f t="shared" si="159"/>
        <v>Plataforma elevadora</v>
      </c>
      <c r="D641" s="12" t="s">
        <v>41</v>
      </c>
      <c r="E641" s="12" t="s">
        <v>56</v>
      </c>
      <c r="F641" s="69">
        <f t="shared" si="161"/>
        <v>499.76389928571427</v>
      </c>
      <c r="G641" s="14"/>
      <c r="H641" s="67">
        <f t="shared" ref="H641:P641" si="168">IF(-H129&gt;G641,0,
IF(H129+G641-(H472-G472)&lt;0,0,H129+G641-(H472-G472)))</f>
        <v>0</v>
      </c>
      <c r="I641" s="67">
        <f t="shared" si="168"/>
        <v>0</v>
      </c>
      <c r="J641" s="67">
        <f t="shared" si="168"/>
        <v>0</v>
      </c>
      <c r="K641" s="67">
        <f t="shared" si="168"/>
        <v>132.29044392857142</v>
      </c>
      <c r="L641" s="67">
        <f t="shared" si="168"/>
        <v>112.69185964285714</v>
      </c>
      <c r="M641" s="67">
        <f t="shared" si="168"/>
        <v>93.093275357142858</v>
      </c>
      <c r="N641" s="67">
        <f t="shared" si="168"/>
        <v>73.494691071428576</v>
      </c>
      <c r="O641" s="67">
        <f t="shared" si="168"/>
        <v>53.896106785714295</v>
      </c>
      <c r="P641" s="67">
        <f t="shared" si="168"/>
        <v>34.297522500000014</v>
      </c>
    </row>
    <row r="642" spans="2:16" ht="13" hidden="1" outlineLevel="1" x14ac:dyDescent="0.3">
      <c r="B642" s="14"/>
      <c r="C642" s="13" t="str">
        <f t="shared" si="159"/>
        <v>Bote E20</v>
      </c>
      <c r="D642" s="12" t="s">
        <v>41</v>
      </c>
      <c r="E642" s="12" t="s">
        <v>56</v>
      </c>
      <c r="F642" s="69">
        <f t="shared" si="161"/>
        <v>313.79203500000006</v>
      </c>
      <c r="G642" s="14"/>
      <c r="H642" s="67">
        <f t="shared" ref="H642:P642" si="169">IF(-H130&gt;G642,0,
IF(H130+G642-(H473-G473)&lt;0,0,H130+G642-(H473-G473)))</f>
        <v>0</v>
      </c>
      <c r="I642" s="67">
        <f t="shared" si="169"/>
        <v>0</v>
      </c>
      <c r="J642" s="67">
        <f t="shared" si="169"/>
        <v>0</v>
      </c>
      <c r="K642" s="67">
        <f t="shared" si="169"/>
        <v>83.062597499999981</v>
      </c>
      <c r="L642" s="67">
        <f t="shared" si="169"/>
        <v>70.757027499999992</v>
      </c>
      <c r="M642" s="67">
        <f t="shared" si="169"/>
        <v>58.451457499999997</v>
      </c>
      <c r="N642" s="67">
        <f t="shared" si="169"/>
        <v>46.145887500000001</v>
      </c>
      <c r="O642" s="67">
        <f t="shared" si="169"/>
        <v>33.840317500000005</v>
      </c>
      <c r="P642" s="67">
        <f t="shared" si="169"/>
        <v>21.534747500000016</v>
      </c>
    </row>
    <row r="643" spans="2:16" ht="13" hidden="1" outlineLevel="1" x14ac:dyDescent="0.3">
      <c r="B643" s="14"/>
      <c r="C643" s="13" t="str">
        <f t="shared" si="159"/>
        <v>Camión 5 tons</v>
      </c>
      <c r="D643" s="12" t="s">
        <v>41</v>
      </c>
      <c r="E643" s="12" t="s">
        <v>56</v>
      </c>
      <c r="F643" s="69">
        <f t="shared" si="161"/>
        <v>53.310372500000021</v>
      </c>
      <c r="G643" s="14"/>
      <c r="H643" s="67">
        <f t="shared" ref="H643:P643" si="170">IF(-H131&gt;G643,0,
IF(H131+G643-(H474-G474)&lt;0,0,H131+G643-(H474-G474)))</f>
        <v>0</v>
      </c>
      <c r="I643" s="67">
        <f t="shared" si="170"/>
        <v>0</v>
      </c>
      <c r="J643" s="67">
        <f t="shared" si="170"/>
        <v>0</v>
      </c>
      <c r="K643" s="67">
        <f t="shared" si="170"/>
        <v>18.416310500000002</v>
      </c>
      <c r="L643" s="67">
        <f t="shared" si="170"/>
        <v>14.539192500000002</v>
      </c>
      <c r="M643" s="67">
        <f t="shared" si="170"/>
        <v>10.662074500000001</v>
      </c>
      <c r="N643" s="67">
        <f t="shared" si="170"/>
        <v>6.7849565000000016</v>
      </c>
      <c r="O643" s="67">
        <f t="shared" si="170"/>
        <v>2.9078385000000022</v>
      </c>
      <c r="P643" s="67">
        <f t="shared" si="170"/>
        <v>5.3290705182007514E-15</v>
      </c>
    </row>
    <row r="644" spans="2:16" ht="13" hidden="1" outlineLevel="1" x14ac:dyDescent="0.3">
      <c r="B644" s="14"/>
      <c r="C644" s="13" t="str">
        <f t="shared" si="159"/>
        <v>Camión barredor</v>
      </c>
      <c r="D644" s="12" t="s">
        <v>41</v>
      </c>
      <c r="E644" s="12" t="s">
        <v>56</v>
      </c>
      <c r="F644" s="69">
        <f t="shared" si="161"/>
        <v>526.42908999999986</v>
      </c>
      <c r="G644" s="14"/>
      <c r="H644" s="67">
        <f t="shared" ref="H644:P644" si="171">IF(-H132&gt;G644,0,
IF(H132+G644-(H475-G475)&lt;0,0,H132+G644-(H475-G475)))</f>
        <v>0</v>
      </c>
      <c r="I644" s="67">
        <f t="shared" si="171"/>
        <v>0</v>
      </c>
      <c r="J644" s="67">
        <f t="shared" si="171"/>
        <v>0</v>
      </c>
      <c r="K644" s="67">
        <f t="shared" si="171"/>
        <v>181.85732199999998</v>
      </c>
      <c r="L644" s="67">
        <f t="shared" si="171"/>
        <v>143.57156999999998</v>
      </c>
      <c r="M644" s="67">
        <f t="shared" si="171"/>
        <v>105.28581799999998</v>
      </c>
      <c r="N644" s="67">
        <f t="shared" si="171"/>
        <v>67.000065999999975</v>
      </c>
      <c r="O644" s="67">
        <f t="shared" si="171"/>
        <v>28.714313999999973</v>
      </c>
      <c r="P644" s="67">
        <f t="shared" si="171"/>
        <v>0</v>
      </c>
    </row>
    <row r="645" spans="2:16" ht="13" hidden="1" outlineLevel="1" x14ac:dyDescent="0.3">
      <c r="B645" s="14"/>
      <c r="C645" s="13" t="str">
        <f t="shared" si="159"/>
        <v>Terminal Tractor</v>
      </c>
      <c r="D645" s="12" t="s">
        <v>41</v>
      </c>
      <c r="E645" s="12" t="s">
        <v>56</v>
      </c>
      <c r="F645" s="69">
        <f t="shared" si="161"/>
        <v>6855.7304614285722</v>
      </c>
      <c r="G645" s="14"/>
      <c r="H645" s="67">
        <f t="shared" ref="H645:P645" si="172">IF(-H133&gt;G645,0,
IF(H133+G645-(H476-G476)&lt;0,0,H133+G645-(H476-G476)))</f>
        <v>0</v>
      </c>
      <c r="I645" s="67">
        <f t="shared" si="172"/>
        <v>0</v>
      </c>
      <c r="J645" s="67">
        <f t="shared" si="172"/>
        <v>0</v>
      </c>
      <c r="K645" s="67">
        <f t="shared" si="172"/>
        <v>1408.4380864285715</v>
      </c>
      <c r="L645" s="67">
        <f t="shared" si="172"/>
        <v>1640.7339892857144</v>
      </c>
      <c r="M645" s="67">
        <f t="shared" si="172"/>
        <v>1365.0962321428574</v>
      </c>
      <c r="N645" s="67">
        <f t="shared" si="172"/>
        <v>1089.4584750000004</v>
      </c>
      <c r="O645" s="67">
        <f t="shared" si="172"/>
        <v>813.82071785714311</v>
      </c>
      <c r="P645" s="67">
        <f t="shared" si="172"/>
        <v>538.18296071428608</v>
      </c>
    </row>
    <row r="646" spans="2:16" ht="13" hidden="1" outlineLevel="1" x14ac:dyDescent="0.3">
      <c r="B646" s="14"/>
      <c r="C646" s="13" t="str">
        <f t="shared" si="159"/>
        <v>Plataforma (Trailer)</v>
      </c>
      <c r="D646" s="12" t="s">
        <v>41</v>
      </c>
      <c r="E646" s="12" t="s">
        <v>56</v>
      </c>
      <c r="F646" s="69">
        <f t="shared" si="161"/>
        <v>2411.0127285714293</v>
      </c>
      <c r="G646" s="14"/>
      <c r="H646" s="67">
        <f t="shared" ref="H646:P646" si="173">IF(-H134&gt;G646,0,
IF(H134+G646-(H477-G477)&lt;0,0,H134+G646-(H477-G477)))</f>
        <v>0</v>
      </c>
      <c r="I646" s="67">
        <f t="shared" si="173"/>
        <v>0</v>
      </c>
      <c r="J646" s="67">
        <f t="shared" si="173"/>
        <v>0</v>
      </c>
      <c r="K646" s="67">
        <f t="shared" si="173"/>
        <v>561.7932428571429</v>
      </c>
      <c r="L646" s="67">
        <f t="shared" si="173"/>
        <v>561.04538571428577</v>
      </c>
      <c r="M646" s="67">
        <f t="shared" si="173"/>
        <v>465.44464142857146</v>
      </c>
      <c r="N646" s="67">
        <f t="shared" si="173"/>
        <v>369.8438971428572</v>
      </c>
      <c r="O646" s="67">
        <f t="shared" si="173"/>
        <v>274.24315285714295</v>
      </c>
      <c r="P646" s="67">
        <f t="shared" si="173"/>
        <v>178.64240857142869</v>
      </c>
    </row>
    <row r="647" spans="2:16" ht="13" hidden="1" outlineLevel="1" x14ac:dyDescent="0.3">
      <c r="B647" s="14"/>
      <c r="C647" s="13" t="str">
        <f t="shared" si="159"/>
        <v>STS</v>
      </c>
      <c r="D647" s="12" t="s">
        <v>41</v>
      </c>
      <c r="E647" s="12" t="s">
        <v>56</v>
      </c>
      <c r="F647" s="69">
        <f t="shared" si="161"/>
        <v>159922.28604624994</v>
      </c>
      <c r="G647" s="14"/>
      <c r="H647" s="67">
        <f t="shared" ref="H647:P647" si="174">IF(-H135&gt;G647,0,
IF(H135+G647-(H478-G478)&lt;0,0,H135+G647-(H478-G478)))</f>
        <v>0</v>
      </c>
      <c r="I647" s="67">
        <f t="shared" si="174"/>
        <v>0</v>
      </c>
      <c r="J647" s="67">
        <f t="shared" si="174"/>
        <v>0</v>
      </c>
      <c r="K647" s="67">
        <f t="shared" si="174"/>
        <v>0</v>
      </c>
      <c r="L647" s="67">
        <f t="shared" si="174"/>
        <v>35593.867831249991</v>
      </c>
      <c r="M647" s="67">
        <f t="shared" si="174"/>
        <v>33789.162520249985</v>
      </c>
      <c r="N647" s="67">
        <f t="shared" si="174"/>
        <v>31984.457209249987</v>
      </c>
      <c r="O647" s="67">
        <f t="shared" si="174"/>
        <v>30179.75189824999</v>
      </c>
      <c r="P647" s="67">
        <f t="shared" si="174"/>
        <v>28375.046587249992</v>
      </c>
    </row>
    <row r="648" spans="2:16" ht="13" hidden="1" outlineLevel="1" x14ac:dyDescent="0.3">
      <c r="B648" s="14"/>
      <c r="C648" s="13" t="str">
        <f t="shared" si="159"/>
        <v>STS spreader</v>
      </c>
      <c r="D648" s="12" t="s">
        <v>41</v>
      </c>
      <c r="E648" s="12" t="s">
        <v>56</v>
      </c>
      <c r="F648" s="69">
        <f t="shared" si="161"/>
        <v>2781.4179285714285</v>
      </c>
      <c r="G648" s="14"/>
      <c r="H648" s="67">
        <f t="shared" ref="H648:P648" si="175">IF(-H136&gt;G648,0,
IF(H136+G648-(H479-G479)&lt;0,0,H136+G648-(H479-G479)))</f>
        <v>0</v>
      </c>
      <c r="I648" s="67">
        <f t="shared" si="175"/>
        <v>0</v>
      </c>
      <c r="J648" s="67">
        <f t="shared" si="175"/>
        <v>0</v>
      </c>
      <c r="K648" s="67">
        <f t="shared" si="175"/>
        <v>0</v>
      </c>
      <c r="L648" s="67">
        <f t="shared" si="175"/>
        <v>802.54459999999995</v>
      </c>
      <c r="M648" s="67">
        <f t="shared" si="175"/>
        <v>679.4140928571428</v>
      </c>
      <c r="N648" s="67">
        <f t="shared" si="175"/>
        <v>556.28358571428566</v>
      </c>
      <c r="O648" s="67">
        <f t="shared" si="175"/>
        <v>433.15307857142852</v>
      </c>
      <c r="P648" s="67">
        <f t="shared" si="175"/>
        <v>310.02257142857144</v>
      </c>
    </row>
    <row r="649" spans="2:16" ht="13" hidden="1" outlineLevel="1" x14ac:dyDescent="0.3">
      <c r="B649" s="14"/>
      <c r="C649" s="13" t="str">
        <f t="shared" si="159"/>
        <v>RTG</v>
      </c>
      <c r="D649" s="12" t="s">
        <v>41</v>
      </c>
      <c r="E649" s="12" t="s">
        <v>56</v>
      </c>
      <c r="F649" s="69">
        <f t="shared" si="161"/>
        <v>81770.839254999984</v>
      </c>
      <c r="G649" s="14"/>
      <c r="H649" s="67">
        <f t="shared" ref="H649:P649" si="176">IF(-H137&gt;G649,0,
IF(H137+G649-(H480-G480)&lt;0,0,H137+G649-(H480-G480)))</f>
        <v>0</v>
      </c>
      <c r="I649" s="67">
        <f t="shared" si="176"/>
        <v>0</v>
      </c>
      <c r="J649" s="67">
        <f t="shared" si="176"/>
        <v>0</v>
      </c>
      <c r="K649" s="67">
        <f t="shared" si="176"/>
        <v>0</v>
      </c>
      <c r="L649" s="67">
        <f t="shared" si="176"/>
        <v>18940.477632333328</v>
      </c>
      <c r="M649" s="67">
        <f t="shared" si="176"/>
        <v>17647.322741666663</v>
      </c>
      <c r="N649" s="67">
        <f t="shared" si="176"/>
        <v>16354.167850999997</v>
      </c>
      <c r="O649" s="67">
        <f t="shared" si="176"/>
        <v>15061.01296033333</v>
      </c>
      <c r="P649" s="67">
        <f t="shared" si="176"/>
        <v>13767.858069666663</v>
      </c>
    </row>
    <row r="650" spans="2:16" ht="13" hidden="1" outlineLevel="1" x14ac:dyDescent="0.3">
      <c r="B650" s="14"/>
      <c r="C650" s="13" t="str">
        <f t="shared" si="159"/>
        <v>RTG spreader</v>
      </c>
      <c r="D650" s="12" t="s">
        <v>41</v>
      </c>
      <c r="E650" s="12" t="s">
        <v>56</v>
      </c>
      <c r="F650" s="69">
        <f t="shared" si="161"/>
        <v>3762.1287016666656</v>
      </c>
      <c r="G650" s="14"/>
      <c r="H650" s="67">
        <f t="shared" ref="H650:P650" si="177">IF(-H138&gt;G650,0,
IF(H138+G650-(H481-G481)&lt;0,0,H138+G650-(H481-G481)))</f>
        <v>0</v>
      </c>
      <c r="I650" s="67">
        <f t="shared" si="177"/>
        <v>0</v>
      </c>
      <c r="J650" s="67">
        <f t="shared" si="177"/>
        <v>0</v>
      </c>
      <c r="K650" s="67">
        <f t="shared" si="177"/>
        <v>0</v>
      </c>
      <c r="L650" s="67">
        <f t="shared" si="177"/>
        <v>951.34492833333309</v>
      </c>
      <c r="M650" s="67">
        <f t="shared" si="177"/>
        <v>851.88533433333305</v>
      </c>
      <c r="N650" s="67">
        <f t="shared" si="177"/>
        <v>752.42574033333312</v>
      </c>
      <c r="O650" s="67">
        <f t="shared" si="177"/>
        <v>652.96614633333309</v>
      </c>
      <c r="P650" s="67">
        <f t="shared" si="177"/>
        <v>553.50655233333305</v>
      </c>
    </row>
    <row r="651" spans="2:16" ht="13" hidden="1" outlineLevel="1" x14ac:dyDescent="0.3">
      <c r="B651" s="14"/>
      <c r="C651" s="13" t="str">
        <f t="shared" si="159"/>
        <v>Montacargas</v>
      </c>
      <c r="D651" s="12" t="s">
        <v>41</v>
      </c>
      <c r="E651" s="12" t="s">
        <v>56</v>
      </c>
      <c r="F651" s="69">
        <f t="shared" si="161"/>
        <v>4251.422657142858</v>
      </c>
      <c r="G651" s="14"/>
      <c r="H651" s="67">
        <f t="shared" ref="H651:P651" si="178">IF(-H139&gt;G651,0,
IF(H139+G651-(H482-G482)&lt;0,0,H139+G651-(H482-G482)))</f>
        <v>0</v>
      </c>
      <c r="I651" s="67">
        <f t="shared" si="178"/>
        <v>0</v>
      </c>
      <c r="J651" s="67">
        <f t="shared" si="178"/>
        <v>0</v>
      </c>
      <c r="K651" s="67">
        <f t="shared" si="178"/>
        <v>1125.3765857142857</v>
      </c>
      <c r="L651" s="67">
        <f t="shared" si="178"/>
        <v>958.6541285714286</v>
      </c>
      <c r="M651" s="67">
        <f t="shared" si="178"/>
        <v>791.93167142857146</v>
      </c>
      <c r="N651" s="67">
        <f t="shared" si="178"/>
        <v>625.20921428571432</v>
      </c>
      <c r="O651" s="67">
        <f t="shared" si="178"/>
        <v>458.48675714285719</v>
      </c>
      <c r="P651" s="67">
        <f t="shared" si="178"/>
        <v>291.76430000000005</v>
      </c>
    </row>
    <row r="652" spans="2:16" ht="13" hidden="1" outlineLevel="1" x14ac:dyDescent="0.3">
      <c r="B652" s="14"/>
      <c r="C652" s="13" t="str">
        <f t="shared" si="159"/>
        <v>Tolvas</v>
      </c>
      <c r="D652" s="12" t="s">
        <v>41</v>
      </c>
      <c r="E652" s="12" t="s">
        <v>56</v>
      </c>
      <c r="F652" s="69">
        <f t="shared" si="161"/>
        <v>23980.159103888884</v>
      </c>
      <c r="G652" s="14"/>
      <c r="H652" s="67">
        <f t="shared" ref="H652:P652" si="179">IF(-H140&gt;G652,0,
IF(H140+G652-(H483-G483)&lt;0,0,H140+G652-(H483-G483)))</f>
        <v>0</v>
      </c>
      <c r="I652" s="67">
        <f t="shared" si="179"/>
        <v>0</v>
      </c>
      <c r="J652" s="67">
        <f t="shared" si="179"/>
        <v>0</v>
      </c>
      <c r="K652" s="67">
        <f t="shared" si="179"/>
        <v>0</v>
      </c>
      <c r="L652" s="67">
        <f t="shared" si="179"/>
        <v>5540.3956336666661</v>
      </c>
      <c r="M652" s="67">
        <f t="shared" si="179"/>
        <v>5168.3504805555549</v>
      </c>
      <c r="N652" s="67">
        <f t="shared" si="179"/>
        <v>4796.0774052222214</v>
      </c>
      <c r="O652" s="67">
        <f t="shared" si="179"/>
        <v>4423.8043298888879</v>
      </c>
      <c r="P652" s="67">
        <f t="shared" si="179"/>
        <v>4051.5312545555544</v>
      </c>
    </row>
    <row r="653" spans="2:16" ht="13" hidden="1" outlineLevel="1" x14ac:dyDescent="0.3">
      <c r="B653" s="14"/>
      <c r="C653" s="13" t="str">
        <f t="shared" si="159"/>
        <v>Equipo absorvente granos</v>
      </c>
      <c r="D653" s="12" t="s">
        <v>41</v>
      </c>
      <c r="E653" s="12" t="s">
        <v>56</v>
      </c>
      <c r="F653" s="69">
        <f t="shared" si="161"/>
        <v>683.27112857142868</v>
      </c>
      <c r="G653" s="14"/>
      <c r="H653" s="67">
        <f t="shared" ref="H653:P653" si="180">IF(-H141&gt;G653,0,
IF(H141+G653-(H484-G484)&lt;0,0,H141+G653-(H484-G484)))</f>
        <v>0</v>
      </c>
      <c r="I653" s="67">
        <f t="shared" si="180"/>
        <v>0</v>
      </c>
      <c r="J653" s="67">
        <f t="shared" si="180"/>
        <v>0</v>
      </c>
      <c r="K653" s="67">
        <f t="shared" si="180"/>
        <v>0</v>
      </c>
      <c r="L653" s="67">
        <f t="shared" si="180"/>
        <v>0</v>
      </c>
      <c r="M653" s="67">
        <f t="shared" si="180"/>
        <v>217.40445000000003</v>
      </c>
      <c r="N653" s="67">
        <f t="shared" si="180"/>
        <v>186.34667142857145</v>
      </c>
      <c r="O653" s="67">
        <f t="shared" si="180"/>
        <v>155.28889285714288</v>
      </c>
      <c r="P653" s="67">
        <f t="shared" si="180"/>
        <v>124.23111428571431</v>
      </c>
    </row>
    <row r="654" spans="2:16" ht="13" hidden="1" outlineLevel="1" x14ac:dyDescent="0.3">
      <c r="B654" s="14"/>
      <c r="C654" s="13" t="str">
        <f t="shared" si="159"/>
        <v xml:space="preserve">Conveyor </v>
      </c>
      <c r="D654" s="12" t="s">
        <v>41</v>
      </c>
      <c r="E654" s="12" t="s">
        <v>56</v>
      </c>
      <c r="F654" s="69">
        <f t="shared" si="161"/>
        <v>30273.692289777773</v>
      </c>
      <c r="G654" s="14"/>
      <c r="H654" s="67">
        <f t="shared" ref="H654:P654" si="181">IF(-H142&gt;G654,0,
IF(H142+G654-(H485-G485)&lt;0,0,H142+G654-(H485-G485)))</f>
        <v>0</v>
      </c>
      <c r="I654" s="67">
        <f t="shared" si="181"/>
        <v>0</v>
      </c>
      <c r="J654" s="67">
        <f t="shared" si="181"/>
        <v>0</v>
      </c>
      <c r="K654" s="67">
        <f t="shared" si="181"/>
        <v>0</v>
      </c>
      <c r="L654" s="67">
        <f t="shared" si="181"/>
        <v>0</v>
      </c>
      <c r="M654" s="67">
        <f t="shared" si="181"/>
        <v>8464.6836994444438</v>
      </c>
      <c r="N654" s="67">
        <f t="shared" si="181"/>
        <v>7867.1766147777771</v>
      </c>
      <c r="O654" s="67">
        <f t="shared" si="181"/>
        <v>7269.6695301111104</v>
      </c>
      <c r="P654" s="67">
        <f t="shared" si="181"/>
        <v>6672.1624454444436</v>
      </c>
    </row>
    <row r="655" spans="2:16" ht="13" hidden="1" outlineLevel="1" x14ac:dyDescent="0.3">
      <c r="B655" s="14"/>
      <c r="C655" s="13" t="str">
        <f t="shared" si="159"/>
        <v>Remolque para residuos</v>
      </c>
      <c r="D655" s="12" t="s">
        <v>41</v>
      </c>
      <c r="E655" s="12" t="s">
        <v>56</v>
      </c>
      <c r="F655" s="69">
        <f t="shared" si="161"/>
        <v>146.54866666666663</v>
      </c>
      <c r="G655" s="14"/>
      <c r="H655" s="67">
        <f t="shared" ref="H655:P655" si="182">IF(-H143&gt;G655,0,
IF(H143+G655-(H486-G486)&lt;0,0,H143+G655-(H486-G486)))</f>
        <v>0</v>
      </c>
      <c r="I655" s="67">
        <f t="shared" si="182"/>
        <v>0</v>
      </c>
      <c r="J655" s="67">
        <f t="shared" si="182"/>
        <v>0</v>
      </c>
      <c r="K655" s="67">
        <f t="shared" si="182"/>
        <v>0</v>
      </c>
      <c r="L655" s="67">
        <f t="shared" si="182"/>
        <v>41.871047619047616</v>
      </c>
      <c r="M655" s="67">
        <f t="shared" si="182"/>
        <v>35.590390476190471</v>
      </c>
      <c r="N655" s="67">
        <f t="shared" si="182"/>
        <v>29.309733333333327</v>
      </c>
      <c r="O655" s="67">
        <f t="shared" si="182"/>
        <v>23.029076190476182</v>
      </c>
      <c r="P655" s="67">
        <f t="shared" si="182"/>
        <v>16.748419047619038</v>
      </c>
    </row>
    <row r="656" spans="2:16" ht="13" hidden="1" outlineLevel="1" x14ac:dyDescent="0.3">
      <c r="B656" s="14"/>
      <c r="C656" s="13" t="str">
        <f t="shared" si="159"/>
        <v xml:space="preserve">Software - Edificio administrativo </v>
      </c>
      <c r="D656" s="12" t="s">
        <v>41</v>
      </c>
      <c r="E656" s="12" t="s">
        <v>56</v>
      </c>
      <c r="F656" s="69">
        <f t="shared" si="161"/>
        <v>159.05317500000001</v>
      </c>
      <c r="G656" s="14"/>
      <c r="H656" s="67">
        <f t="shared" ref="H656:P656" si="183">IF(-H144&gt;G656,0,
IF(H144+G656-(H487-G487)&lt;0,0,H144+G656-(H487-G487)))</f>
        <v>0</v>
      </c>
      <c r="I656" s="67">
        <f t="shared" si="183"/>
        <v>0</v>
      </c>
      <c r="J656" s="67">
        <f t="shared" si="183"/>
        <v>0</v>
      </c>
      <c r="K656" s="67">
        <f t="shared" si="183"/>
        <v>0</v>
      </c>
      <c r="L656" s="67">
        <f t="shared" si="183"/>
        <v>88.362875000000003</v>
      </c>
      <c r="M656" s="67">
        <f t="shared" si="183"/>
        <v>53.017724999999999</v>
      </c>
      <c r="N656" s="67">
        <f t="shared" si="183"/>
        <v>17.672575000000002</v>
      </c>
      <c r="O656" s="67">
        <f t="shared" si="183"/>
        <v>0</v>
      </c>
      <c r="P656" s="67">
        <f t="shared" si="183"/>
        <v>0</v>
      </c>
    </row>
    <row r="657" spans="2:16" ht="13" hidden="1" outlineLevel="1" x14ac:dyDescent="0.3">
      <c r="B657" s="14"/>
      <c r="C657" s="13" t="str">
        <f t="shared" si="159"/>
        <v>Optimización informática</v>
      </c>
      <c r="D657" s="12" t="s">
        <v>41</v>
      </c>
      <c r="E657" s="12" t="s">
        <v>56</v>
      </c>
      <c r="F657" s="69">
        <f t="shared" si="161"/>
        <v>7591.2611600000018</v>
      </c>
      <c r="G657" s="14"/>
      <c r="H657" s="67">
        <f t="shared" ref="H657:P657" si="184">IF(-H145&gt;G657,0,
IF(H145+G657-(H488-G488)&lt;0,0,H145+G657-(H488-G488)))</f>
        <v>0</v>
      </c>
      <c r="I657" s="67">
        <f t="shared" si="184"/>
        <v>0</v>
      </c>
      <c r="J657" s="67">
        <f t="shared" si="184"/>
        <v>0</v>
      </c>
      <c r="K657" s="67">
        <f t="shared" si="184"/>
        <v>0</v>
      </c>
      <c r="L657" s="67">
        <f t="shared" si="184"/>
        <v>0</v>
      </c>
      <c r="M657" s="67">
        <f t="shared" si="184"/>
        <v>3795.6305800000005</v>
      </c>
      <c r="N657" s="67">
        <f t="shared" si="184"/>
        <v>2530.4203866666671</v>
      </c>
      <c r="O657" s="67">
        <f t="shared" si="184"/>
        <v>1265.2101933333338</v>
      </c>
      <c r="P657" s="67">
        <f t="shared" si="184"/>
        <v>4.5474735088646412E-13</v>
      </c>
    </row>
    <row r="658" spans="2:16" ht="13" hidden="1" outlineLevel="1" x14ac:dyDescent="0.3">
      <c r="B658" s="14"/>
      <c r="C658" s="13" t="str">
        <f t="shared" si="159"/>
        <v>Reefer rack (modificación estructura)</v>
      </c>
      <c r="D658" s="12" t="s">
        <v>41</v>
      </c>
      <c r="E658" s="12" t="s">
        <v>56</v>
      </c>
      <c r="F658" s="69">
        <f t="shared" si="161"/>
        <v>1632.5183444999998</v>
      </c>
      <c r="G658" s="14"/>
      <c r="H658" s="67">
        <f t="shared" ref="H658:P658" si="185">IF(-H146&gt;G658,0,
IF(H146+G658-(H489-G489)&lt;0,0,H146+G658-(H489-G489)))</f>
        <v>0</v>
      </c>
      <c r="I658" s="67">
        <f t="shared" si="185"/>
        <v>0</v>
      </c>
      <c r="J658" s="67">
        <f t="shared" si="185"/>
        <v>0</v>
      </c>
      <c r="K658" s="67">
        <f t="shared" si="185"/>
        <v>0</v>
      </c>
      <c r="L658" s="67">
        <f t="shared" si="185"/>
        <v>0</v>
      </c>
      <c r="M658" s="67">
        <f t="shared" si="185"/>
        <v>0</v>
      </c>
      <c r="N658" s="67">
        <f t="shared" si="185"/>
        <v>0</v>
      </c>
      <c r="O658" s="67">
        <f t="shared" si="185"/>
        <v>837.27872174999993</v>
      </c>
      <c r="P658" s="67">
        <f t="shared" si="185"/>
        <v>795.23962274999997</v>
      </c>
    </row>
    <row r="659" spans="2:16" ht="13" hidden="1" outlineLevel="1" x14ac:dyDescent="0.3">
      <c r="B659" s="14"/>
      <c r="C659" s="13" t="str">
        <f t="shared" si="159"/>
        <v>Plataforma (Trailer)</v>
      </c>
      <c r="D659" s="12" t="s">
        <v>41</v>
      </c>
      <c r="E659" s="12" t="s">
        <v>56</v>
      </c>
      <c r="F659" s="69">
        <f t="shared" si="161"/>
        <v>925.11746285714275</v>
      </c>
      <c r="G659" s="14"/>
      <c r="H659" s="67">
        <f t="shared" ref="H659:P659" si="186">IF(-H147&gt;G659,0,
IF(H147+G659-(H490-G490)&lt;0,0,H147+G659-(H490-G490)))</f>
        <v>0</v>
      </c>
      <c r="I659" s="67">
        <f t="shared" si="186"/>
        <v>0</v>
      </c>
      <c r="J659" s="67">
        <f t="shared" si="186"/>
        <v>0</v>
      </c>
      <c r="K659" s="67">
        <f t="shared" si="186"/>
        <v>0</v>
      </c>
      <c r="L659" s="67">
        <f t="shared" si="186"/>
        <v>0</v>
      </c>
      <c r="M659" s="67">
        <f t="shared" si="186"/>
        <v>0</v>
      </c>
      <c r="N659" s="67">
        <f t="shared" si="186"/>
        <v>362.79116190476185</v>
      </c>
      <c r="O659" s="67">
        <f t="shared" si="186"/>
        <v>308.37248761904755</v>
      </c>
      <c r="P659" s="67">
        <f t="shared" si="186"/>
        <v>253.95381333333327</v>
      </c>
    </row>
    <row r="660" spans="2:16" ht="13" hidden="1" outlineLevel="1" x14ac:dyDescent="0.3">
      <c r="B660" s="14"/>
      <c r="C660" s="13" t="str">
        <f t="shared" si="159"/>
        <v>Montacargas</v>
      </c>
      <c r="D660" s="12" t="s">
        <v>41</v>
      </c>
      <c r="E660" s="12" t="s">
        <v>56</v>
      </c>
      <c r="F660" s="69">
        <f t="shared" si="161"/>
        <v>3743.3185374999989</v>
      </c>
      <c r="G660" s="14"/>
      <c r="H660" s="67">
        <f t="shared" ref="H660:P660" si="187">IF(-H148&gt;G660,0,
IF(H148+G660-(H491-G491)&lt;0,0,H148+G660-(H491-G491)))</f>
        <v>0</v>
      </c>
      <c r="I660" s="67">
        <f t="shared" si="187"/>
        <v>0</v>
      </c>
      <c r="J660" s="67">
        <f t="shared" si="187"/>
        <v>0</v>
      </c>
      <c r="K660" s="67">
        <f t="shared" si="187"/>
        <v>0</v>
      </c>
      <c r="L660" s="67">
        <f t="shared" si="187"/>
        <v>0</v>
      </c>
      <c r="M660" s="67">
        <f t="shared" si="187"/>
        <v>0</v>
      </c>
      <c r="N660" s="67">
        <f t="shared" si="187"/>
        <v>1473.9918244047615</v>
      </c>
      <c r="O660" s="67">
        <f t="shared" si="187"/>
        <v>1247.7728458333329</v>
      </c>
      <c r="P660" s="67">
        <f t="shared" si="187"/>
        <v>1021.5538672619044</v>
      </c>
    </row>
    <row r="661" spans="2:16" ht="13" hidden="1" outlineLevel="1" x14ac:dyDescent="0.3">
      <c r="B661" s="14"/>
      <c r="C661" s="13" t="str">
        <f t="shared" si="159"/>
        <v>Montacargas (camaras seguridad)</v>
      </c>
      <c r="D661" s="12" t="s">
        <v>41</v>
      </c>
      <c r="E661" s="12" t="s">
        <v>56</v>
      </c>
      <c r="F661" s="69">
        <f t="shared" si="161"/>
        <v>42.418179166666661</v>
      </c>
      <c r="G661" s="14"/>
      <c r="H661" s="67">
        <f t="shared" ref="H661:P661" si="188">IF(-H149&gt;G661,0,
IF(H149+G661-(H492-G492)&lt;0,0,H149+G661-(H492-G492)))</f>
        <v>0</v>
      </c>
      <c r="I661" s="67">
        <f t="shared" si="188"/>
        <v>0</v>
      </c>
      <c r="J661" s="67">
        <f t="shared" si="188"/>
        <v>0</v>
      </c>
      <c r="K661" s="67">
        <f t="shared" si="188"/>
        <v>0</v>
      </c>
      <c r="L661" s="67">
        <f t="shared" si="188"/>
        <v>0</v>
      </c>
      <c r="M661" s="67">
        <f t="shared" si="188"/>
        <v>0</v>
      </c>
      <c r="N661" s="67">
        <f t="shared" si="188"/>
        <v>23.500646388888889</v>
      </c>
      <c r="O661" s="67">
        <f t="shared" si="188"/>
        <v>14.139393055555555</v>
      </c>
      <c r="P661" s="67">
        <f t="shared" si="188"/>
        <v>4.7781397222222228</v>
      </c>
    </row>
    <row r="662" spans="2:16" ht="13" hidden="1" outlineLevel="1" x14ac:dyDescent="0.3">
      <c r="B662" s="14"/>
      <c r="C662" s="13" t="str">
        <f t="shared" si="159"/>
        <v>Tolvas</v>
      </c>
      <c r="D662" s="12" t="s">
        <v>41</v>
      </c>
      <c r="E662" s="12" t="s">
        <v>56</v>
      </c>
      <c r="F662" s="69">
        <f t="shared" si="161"/>
        <v>8831.3577311666668</v>
      </c>
      <c r="G662" s="14"/>
      <c r="H662" s="67">
        <f t="shared" ref="H662:P662" si="189">IF(-H150&gt;G662,0,
IF(H150+G662-(H493-G493)&lt;0,0,H150+G662-(H493-G493)))</f>
        <v>0</v>
      </c>
      <c r="I662" s="67">
        <f t="shared" si="189"/>
        <v>0</v>
      </c>
      <c r="J662" s="67">
        <f t="shared" si="189"/>
        <v>0</v>
      </c>
      <c r="K662" s="67">
        <f t="shared" si="189"/>
        <v>0</v>
      </c>
      <c r="L662" s="67">
        <f t="shared" si="189"/>
        <v>0</v>
      </c>
      <c r="M662" s="67">
        <f t="shared" si="189"/>
        <v>0</v>
      </c>
      <c r="N662" s="67">
        <f t="shared" si="189"/>
        <v>3161.6095517222225</v>
      </c>
      <c r="O662" s="67">
        <f t="shared" si="189"/>
        <v>2943.7859103888891</v>
      </c>
      <c r="P662" s="67">
        <f t="shared" si="189"/>
        <v>2725.9622690555557</v>
      </c>
    </row>
    <row r="663" spans="2:16" ht="13" hidden="1" outlineLevel="1" x14ac:dyDescent="0.3">
      <c r="B663" s="14"/>
      <c r="C663" s="13" t="str">
        <f t="shared" ref="C663:C687" si="190">+C323</f>
        <v>Tolvas (grupos electrogenos)</v>
      </c>
      <c r="D663" s="12" t="s">
        <v>41</v>
      </c>
      <c r="E663" s="12" t="s">
        <v>56</v>
      </c>
      <c r="F663" s="69">
        <f t="shared" si="161"/>
        <v>419.53135714285719</v>
      </c>
      <c r="G663" s="14"/>
      <c r="H663" s="67">
        <f t="shared" ref="H663:P663" si="191">IF(-H151&gt;G663,0,
IF(H151+G663-(H494-G494)&lt;0,0,H151+G663-(H494-G494)))</f>
        <v>0</v>
      </c>
      <c r="I663" s="67">
        <f t="shared" si="191"/>
        <v>0</v>
      </c>
      <c r="J663" s="67">
        <f t="shared" si="191"/>
        <v>0</v>
      </c>
      <c r="K663" s="67">
        <f t="shared" si="191"/>
        <v>0</v>
      </c>
      <c r="L663" s="67">
        <f t="shared" si="191"/>
        <v>0</v>
      </c>
      <c r="M663" s="67">
        <f t="shared" si="191"/>
        <v>0</v>
      </c>
      <c r="N663" s="67">
        <f t="shared" si="191"/>
        <v>165.26992857142858</v>
      </c>
      <c r="O663" s="67">
        <f t="shared" si="191"/>
        <v>139.84378571428573</v>
      </c>
      <c r="P663" s="67">
        <f t="shared" si="191"/>
        <v>114.41764285714288</v>
      </c>
    </row>
    <row r="664" spans="2:16" ht="13" hidden="1" outlineLevel="1" x14ac:dyDescent="0.3">
      <c r="B664" s="14"/>
      <c r="C664" s="13" t="str">
        <f t="shared" si="190"/>
        <v>Minicargador</v>
      </c>
      <c r="D664" s="12" t="s">
        <v>41</v>
      </c>
      <c r="E664" s="12" t="s">
        <v>56</v>
      </c>
      <c r="F664" s="69">
        <f t="shared" si="161"/>
        <v>637.54391821428578</v>
      </c>
      <c r="G664" s="14"/>
      <c r="H664" s="67">
        <f t="shared" ref="H664:P664" si="192">IF(-H152&gt;G664,0,
IF(H152+G664-(H495-G495)&lt;0,0,H152+G664-(H495-G495)))</f>
        <v>0</v>
      </c>
      <c r="I664" s="67">
        <f t="shared" si="192"/>
        <v>0</v>
      </c>
      <c r="J664" s="67">
        <f t="shared" si="192"/>
        <v>0</v>
      </c>
      <c r="K664" s="67">
        <f t="shared" si="192"/>
        <v>0</v>
      </c>
      <c r="L664" s="67">
        <f t="shared" si="192"/>
        <v>0</v>
      </c>
      <c r="M664" s="67">
        <f t="shared" si="192"/>
        <v>0</v>
      </c>
      <c r="N664" s="67">
        <f t="shared" si="192"/>
        <v>250.85548083333336</v>
      </c>
      <c r="O664" s="67">
        <f t="shared" si="192"/>
        <v>212.51463940476194</v>
      </c>
      <c r="P664" s="67">
        <f t="shared" si="192"/>
        <v>174.17379797619049</v>
      </c>
    </row>
    <row r="665" spans="2:16" ht="13" hidden="1" outlineLevel="1" x14ac:dyDescent="0.3">
      <c r="B665" s="14"/>
      <c r="C665" s="13" t="str">
        <f t="shared" si="190"/>
        <v>Minicargador (camaras seguridad)</v>
      </c>
      <c r="D665" s="12" t="s">
        <v>41</v>
      </c>
      <c r="E665" s="12" t="s">
        <v>56</v>
      </c>
      <c r="F665" s="69">
        <f t="shared" si="161"/>
        <v>32.471847499999996</v>
      </c>
      <c r="G665" s="14"/>
      <c r="H665" s="67">
        <f t="shared" ref="H665:P665" si="193">IF(-H153&gt;G665,0,
IF(H153+G665-(H496-G496)&lt;0,0,H153+G665-(H496-G496)))</f>
        <v>0</v>
      </c>
      <c r="I665" s="67">
        <f t="shared" si="193"/>
        <v>0</v>
      </c>
      <c r="J665" s="67">
        <f t="shared" si="193"/>
        <v>0</v>
      </c>
      <c r="K665" s="67">
        <f t="shared" si="193"/>
        <v>0</v>
      </c>
      <c r="L665" s="67">
        <f t="shared" si="193"/>
        <v>0</v>
      </c>
      <c r="M665" s="67">
        <f t="shared" si="193"/>
        <v>0</v>
      </c>
      <c r="N665" s="67">
        <f t="shared" si="193"/>
        <v>17.844889166666665</v>
      </c>
      <c r="O665" s="67">
        <f t="shared" si="193"/>
        <v>10.823949166666665</v>
      </c>
      <c r="P665" s="67">
        <f t="shared" si="193"/>
        <v>3.8030091666666657</v>
      </c>
    </row>
    <row r="666" spans="2:16" ht="13" hidden="1" outlineLevel="1" x14ac:dyDescent="0.3">
      <c r="B666" s="14"/>
      <c r="C666" s="13" t="str">
        <f t="shared" si="190"/>
        <v>Excavadora</v>
      </c>
      <c r="D666" s="12" t="s">
        <v>41</v>
      </c>
      <c r="E666" s="12" t="s">
        <v>56</v>
      </c>
      <c r="F666" s="69">
        <f t="shared" si="161"/>
        <v>1090.1114164285714</v>
      </c>
      <c r="G666" s="14"/>
      <c r="H666" s="67">
        <f t="shared" ref="H666:P666" si="194">IF(-H154&gt;G666,0,
IF(H154+G666-(H497-G497)&lt;0,0,H154+G666-(H497-G497)))</f>
        <v>0</v>
      </c>
      <c r="I666" s="67">
        <f t="shared" si="194"/>
        <v>0</v>
      </c>
      <c r="J666" s="67">
        <f t="shared" si="194"/>
        <v>0</v>
      </c>
      <c r="K666" s="67">
        <f t="shared" si="194"/>
        <v>0</v>
      </c>
      <c r="L666" s="67">
        <f t="shared" si="194"/>
        <v>0</v>
      </c>
      <c r="M666" s="67">
        <f t="shared" si="194"/>
        <v>0</v>
      </c>
      <c r="N666" s="67">
        <f t="shared" si="194"/>
        <v>429.43783071428572</v>
      </c>
      <c r="O666" s="67">
        <f t="shared" si="194"/>
        <v>363.37047214285712</v>
      </c>
      <c r="P666" s="67">
        <f t="shared" si="194"/>
        <v>297.30311357142853</v>
      </c>
    </row>
    <row r="667" spans="2:16" ht="13" hidden="1" outlineLevel="1" x14ac:dyDescent="0.3">
      <c r="B667" s="14"/>
      <c r="C667" s="13" t="str">
        <f t="shared" si="190"/>
        <v>Cucharas</v>
      </c>
      <c r="D667" s="12" t="s">
        <v>41</v>
      </c>
      <c r="E667" s="12" t="s">
        <v>56</v>
      </c>
      <c r="F667" s="69">
        <f t="shared" si="161"/>
        <v>1359.9488571428574</v>
      </c>
      <c r="G667" s="14"/>
      <c r="H667" s="67">
        <f t="shared" ref="H667:P667" si="195">IF(-H155&gt;G667,0,
IF(H155+G667-(H498-G498)&lt;0,0,H155+G667-(H498-G498)))</f>
        <v>0</v>
      </c>
      <c r="I667" s="67">
        <f t="shared" si="195"/>
        <v>0</v>
      </c>
      <c r="J667" s="67">
        <f t="shared" si="195"/>
        <v>0</v>
      </c>
      <c r="K667" s="67">
        <f t="shared" si="195"/>
        <v>0</v>
      </c>
      <c r="L667" s="67">
        <f t="shared" si="195"/>
        <v>0</v>
      </c>
      <c r="M667" s="67">
        <f t="shared" si="195"/>
        <v>0</v>
      </c>
      <c r="N667" s="67">
        <f t="shared" si="195"/>
        <v>535.73742857142861</v>
      </c>
      <c r="O667" s="67">
        <f t="shared" si="195"/>
        <v>453.31628571428575</v>
      </c>
      <c r="P667" s="67">
        <f t="shared" si="195"/>
        <v>370.8951428571429</v>
      </c>
    </row>
    <row r="668" spans="2:16" ht="13" hidden="1" outlineLevel="1" x14ac:dyDescent="0.3">
      <c r="B668" s="14"/>
      <c r="C668" s="13" t="str">
        <f t="shared" si="190"/>
        <v>Cargador frontal</v>
      </c>
      <c r="D668" s="12" t="s">
        <v>41</v>
      </c>
      <c r="E668" s="12" t="s">
        <v>56</v>
      </c>
      <c r="F668" s="69">
        <f t="shared" si="161"/>
        <v>835.51834928571429</v>
      </c>
      <c r="G668" s="14"/>
      <c r="H668" s="67">
        <f t="shared" ref="H668:P668" si="196">IF(-H156&gt;G668,0,
IF(H156+G668-(H499-G499)&lt;0,0,H156+G668-(H499-G499)))</f>
        <v>0</v>
      </c>
      <c r="I668" s="67">
        <f t="shared" si="196"/>
        <v>0</v>
      </c>
      <c r="J668" s="67">
        <f t="shared" si="196"/>
        <v>0</v>
      </c>
      <c r="K668" s="67">
        <f t="shared" si="196"/>
        <v>0</v>
      </c>
      <c r="L668" s="67">
        <f t="shared" si="196"/>
        <v>0</v>
      </c>
      <c r="M668" s="67">
        <f t="shared" si="196"/>
        <v>0</v>
      </c>
      <c r="N668" s="67">
        <f t="shared" si="196"/>
        <v>329.14359214285713</v>
      </c>
      <c r="O668" s="67">
        <f t="shared" si="196"/>
        <v>278.50611642857143</v>
      </c>
      <c r="P668" s="67">
        <f t="shared" si="196"/>
        <v>227.86864071428573</v>
      </c>
    </row>
    <row r="669" spans="2:16" ht="13" hidden="1" outlineLevel="1" x14ac:dyDescent="0.3">
      <c r="B669" s="14"/>
      <c r="C669" s="13" t="str">
        <f t="shared" si="190"/>
        <v>Cargador frontal (camaras seguridad)</v>
      </c>
      <c r="D669" s="12" t="s">
        <v>41</v>
      </c>
      <c r="E669" s="12" t="s">
        <v>56</v>
      </c>
      <c r="F669" s="69">
        <f t="shared" si="161"/>
        <v>10.531410000000001</v>
      </c>
      <c r="G669" s="14"/>
      <c r="H669" s="67">
        <f t="shared" ref="H669:P669" si="197">IF(-H157&gt;G669,0,
IF(H157+G669-(H500-G500)&lt;0,0,H157+G669-(H500-G500)))</f>
        <v>0</v>
      </c>
      <c r="I669" s="67">
        <f t="shared" si="197"/>
        <v>0</v>
      </c>
      <c r="J669" s="67">
        <f t="shared" si="197"/>
        <v>0</v>
      </c>
      <c r="K669" s="67">
        <f t="shared" si="197"/>
        <v>0</v>
      </c>
      <c r="L669" s="67">
        <f t="shared" si="197"/>
        <v>0</v>
      </c>
      <c r="M669" s="67">
        <f t="shared" si="197"/>
        <v>0</v>
      </c>
      <c r="N669" s="67">
        <f t="shared" si="197"/>
        <v>5.8507833333333332</v>
      </c>
      <c r="O669" s="67">
        <f t="shared" si="197"/>
        <v>3.5104699999999998</v>
      </c>
      <c r="P669" s="67">
        <f t="shared" si="197"/>
        <v>1.1701566666666672</v>
      </c>
    </row>
    <row r="670" spans="2:16" ht="13" hidden="1" outlineLevel="1" x14ac:dyDescent="0.3">
      <c r="B670" s="14"/>
      <c r="C670" s="13" t="str">
        <f t="shared" si="190"/>
        <v>Spreader</v>
      </c>
      <c r="D670" s="12" t="s">
        <v>41</v>
      </c>
      <c r="E670" s="12" t="s">
        <v>56</v>
      </c>
      <c r="F670" s="69">
        <f t="shared" si="161"/>
        <v>931.4009657142858</v>
      </c>
      <c r="G670" s="14"/>
      <c r="H670" s="67">
        <f t="shared" ref="H670:P670" si="198">IF(-H158&gt;G670,0,
IF(H158+G670-(H501-G501)&lt;0,0,H158+G670-(H501-G501)))</f>
        <v>0</v>
      </c>
      <c r="I670" s="67">
        <f t="shared" si="198"/>
        <v>0</v>
      </c>
      <c r="J670" s="67">
        <f t="shared" si="198"/>
        <v>0</v>
      </c>
      <c r="K670" s="67">
        <f t="shared" si="198"/>
        <v>0</v>
      </c>
      <c r="L670" s="67">
        <f t="shared" si="198"/>
        <v>0</v>
      </c>
      <c r="M670" s="67">
        <f t="shared" si="198"/>
        <v>0</v>
      </c>
      <c r="N670" s="67">
        <f t="shared" si="198"/>
        <v>0</v>
      </c>
      <c r="O670" s="67">
        <f t="shared" si="198"/>
        <v>504.50885642857145</v>
      </c>
      <c r="P670" s="67">
        <f t="shared" si="198"/>
        <v>426.89210928571435</v>
      </c>
    </row>
    <row r="671" spans="2:16" ht="13" hidden="1" outlineLevel="1" x14ac:dyDescent="0.3">
      <c r="B671" s="14"/>
      <c r="C671" s="13" t="str">
        <f t="shared" si="190"/>
        <v>Elevadores tijera</v>
      </c>
      <c r="D671" s="12" t="s">
        <v>41</v>
      </c>
      <c r="E671" s="12" t="s">
        <v>56</v>
      </c>
      <c r="F671" s="69">
        <f t="shared" si="161"/>
        <v>71.428571428571416</v>
      </c>
      <c r="G671" s="14"/>
      <c r="H671" s="67">
        <f t="shared" ref="H671:P671" si="199">IF(-H159&gt;G671,0,
IF(H159+G671-(H502-G502)&lt;0,0,H159+G671-(H502-G502)))</f>
        <v>0</v>
      </c>
      <c r="I671" s="67">
        <f t="shared" si="199"/>
        <v>0</v>
      </c>
      <c r="J671" s="67">
        <f t="shared" si="199"/>
        <v>0</v>
      </c>
      <c r="K671" s="67">
        <f t="shared" si="199"/>
        <v>0</v>
      </c>
      <c r="L671" s="67">
        <f t="shared" si="199"/>
        <v>0</v>
      </c>
      <c r="M671" s="67">
        <f t="shared" si="199"/>
        <v>0</v>
      </c>
      <c r="N671" s="67">
        <f t="shared" si="199"/>
        <v>0</v>
      </c>
      <c r="O671" s="67">
        <f t="shared" si="199"/>
        <v>38.571428571428569</v>
      </c>
      <c r="P671" s="67">
        <f t="shared" si="199"/>
        <v>32.857142857142854</v>
      </c>
    </row>
    <row r="672" spans="2:16" ht="13" hidden="1" outlineLevel="1" x14ac:dyDescent="0.3">
      <c r="B672" s="14"/>
      <c r="C672" s="13" t="str">
        <f t="shared" si="190"/>
        <v>Sistema Most</v>
      </c>
      <c r="D672" s="12" t="s">
        <v>41</v>
      </c>
      <c r="E672" s="12" t="s">
        <v>56</v>
      </c>
      <c r="F672" s="69">
        <f t="shared" si="161"/>
        <v>538.2307152777779</v>
      </c>
      <c r="G672" s="14"/>
      <c r="H672" s="67">
        <f t="shared" ref="H672:P672" si="200">IF(-H160&gt;G672,0,
IF(H160+G672-(H503-G503)&lt;0,0,H160+G672-(H503-G503)))</f>
        <v>0</v>
      </c>
      <c r="I672" s="67">
        <f t="shared" si="200"/>
        <v>0</v>
      </c>
      <c r="J672" s="67">
        <f t="shared" si="200"/>
        <v>0</v>
      </c>
      <c r="K672" s="67">
        <f t="shared" si="200"/>
        <v>0</v>
      </c>
      <c r="L672" s="67">
        <f t="shared" si="200"/>
        <v>0</v>
      </c>
      <c r="M672" s="67">
        <f t="shared" si="200"/>
        <v>0</v>
      </c>
      <c r="N672" s="67">
        <f t="shared" si="200"/>
        <v>0</v>
      </c>
      <c r="O672" s="67">
        <f t="shared" si="200"/>
        <v>0</v>
      </c>
      <c r="P672" s="67">
        <f t="shared" si="200"/>
        <v>538.2307152777779</v>
      </c>
    </row>
    <row r="673" spans="2:16" ht="13" hidden="1" outlineLevel="1" x14ac:dyDescent="0.3">
      <c r="B673" s="14"/>
      <c r="C673" s="13" t="str">
        <f t="shared" si="190"/>
        <v xml:space="preserve">Reach Stacker (RS) </v>
      </c>
      <c r="D673" s="12" t="s">
        <v>41</v>
      </c>
      <c r="E673" s="12" t="s">
        <v>56</v>
      </c>
      <c r="F673" s="69">
        <f t="shared" si="161"/>
        <v>4152.5185965000001</v>
      </c>
      <c r="G673" s="14"/>
      <c r="H673" s="67">
        <f t="shared" ref="H673:P673" si="201">IF(-H161&gt;G673,0,
IF(H161+G673-(H504-G504)&lt;0,0,H161+G673-(H504-G504)))</f>
        <v>791.93969916666663</v>
      </c>
      <c r="I673" s="67">
        <f t="shared" si="201"/>
        <v>709.30251316666659</v>
      </c>
      <c r="J673" s="67">
        <f t="shared" si="201"/>
        <v>626.66532716666666</v>
      </c>
      <c r="K673" s="67">
        <f t="shared" si="201"/>
        <v>544.02814116666673</v>
      </c>
      <c r="L673" s="67">
        <f t="shared" si="201"/>
        <v>461.39095516666674</v>
      </c>
      <c r="M673" s="67">
        <f t="shared" si="201"/>
        <v>378.75376916666676</v>
      </c>
      <c r="N673" s="67">
        <f t="shared" si="201"/>
        <v>296.11658316666677</v>
      </c>
      <c r="O673" s="67">
        <f t="shared" si="201"/>
        <v>213.47939716666673</v>
      </c>
      <c r="P673" s="67">
        <f t="shared" si="201"/>
        <v>130.84221116666669</v>
      </c>
    </row>
    <row r="674" spans="2:16" ht="13" hidden="1" outlineLevel="1" x14ac:dyDescent="0.3">
      <c r="B674" s="14"/>
      <c r="C674" s="13" t="str">
        <f t="shared" si="190"/>
        <v>Camionetas</v>
      </c>
      <c r="D674" s="12" t="s">
        <v>41</v>
      </c>
      <c r="E674" s="12" t="s">
        <v>56</v>
      </c>
      <c r="F674" s="69">
        <f t="shared" si="161"/>
        <v>23.200200000000002</v>
      </c>
      <c r="G674" s="14"/>
      <c r="H674" s="67">
        <f t="shared" ref="H674:P674" si="202">IF(-H162&gt;G674,0,
IF(H162+G674-(H505-G505)&lt;0,0,H162+G674-(H505-G505)))</f>
        <v>5.8000500000000006</v>
      </c>
      <c r="I674" s="67">
        <f t="shared" si="202"/>
        <v>4.9714714285714292</v>
      </c>
      <c r="J674" s="67">
        <f t="shared" si="202"/>
        <v>4.1428928571428578</v>
      </c>
      <c r="K674" s="67">
        <f t="shared" si="202"/>
        <v>3.3143142857142864</v>
      </c>
      <c r="L674" s="67">
        <f t="shared" si="202"/>
        <v>2.485735714285715</v>
      </c>
      <c r="M674" s="67">
        <f t="shared" si="202"/>
        <v>1.6571571428571437</v>
      </c>
      <c r="N674" s="67">
        <f t="shared" si="202"/>
        <v>0.82857857142857227</v>
      </c>
      <c r="O674" s="67">
        <f t="shared" si="202"/>
        <v>8.8817841970012523E-16</v>
      </c>
      <c r="P674" s="67">
        <f t="shared" si="202"/>
        <v>0</v>
      </c>
    </row>
    <row r="675" spans="2:16" ht="13" hidden="1" outlineLevel="1" x14ac:dyDescent="0.3">
      <c r="B675" s="14"/>
      <c r="C675" s="13" t="str">
        <f t="shared" si="190"/>
        <v>Trailer ro-ro</v>
      </c>
      <c r="D675" s="12" t="s">
        <v>41</v>
      </c>
      <c r="E675" s="12" t="s">
        <v>56</v>
      </c>
      <c r="F675" s="69">
        <f t="shared" si="161"/>
        <v>187.21871000000007</v>
      </c>
      <c r="G675" s="14"/>
      <c r="H675" s="67">
        <f t="shared" ref="H675:P675" si="203">IF(-H163&gt;G675,0,
IF(H163+G675-(H506-G506)&lt;0,0,H163+G675-(H506-G506)))</f>
        <v>0</v>
      </c>
      <c r="I675" s="67">
        <f t="shared" si="203"/>
        <v>50.229410000000001</v>
      </c>
      <c r="J675" s="67">
        <f t="shared" si="203"/>
        <v>42.401450000000004</v>
      </c>
      <c r="K675" s="67">
        <f t="shared" si="203"/>
        <v>34.573490000000007</v>
      </c>
      <c r="L675" s="67">
        <f t="shared" si="203"/>
        <v>26.745530000000006</v>
      </c>
      <c r="M675" s="67">
        <f t="shared" si="203"/>
        <v>18.917570000000008</v>
      </c>
      <c r="N675" s="67">
        <f t="shared" si="203"/>
        <v>11.089610000000011</v>
      </c>
      <c r="O675" s="67">
        <f t="shared" si="203"/>
        <v>3.2616500000000137</v>
      </c>
      <c r="P675" s="67">
        <f t="shared" si="203"/>
        <v>3.5527136788005009E-15</v>
      </c>
    </row>
    <row r="676" spans="2:16" ht="13" hidden="1" outlineLevel="1" x14ac:dyDescent="0.3">
      <c r="B676" s="14"/>
      <c r="C676" s="13" t="str">
        <f t="shared" si="190"/>
        <v>Spreader MHC</v>
      </c>
      <c r="D676" s="12" t="s">
        <v>41</v>
      </c>
      <c r="E676" s="12" t="s">
        <v>56</v>
      </c>
      <c r="F676" s="69">
        <f t="shared" si="161"/>
        <v>145.71902821428571</v>
      </c>
      <c r="G676" s="14"/>
      <c r="H676" s="67">
        <f t="shared" ref="H676:P676" si="204">IF(-H164&gt;G676,0,
IF(H164+G676-(H507-G507)&lt;0,0,H164+G676-(H507-G507)))</f>
        <v>0</v>
      </c>
      <c r="I676" s="67">
        <f t="shared" si="204"/>
        <v>0</v>
      </c>
      <c r="J676" s="67">
        <f t="shared" si="204"/>
        <v>145.71902821428571</v>
      </c>
      <c r="K676" s="67">
        <f t="shared" si="204"/>
        <v>0</v>
      </c>
      <c r="L676" s="67">
        <f t="shared" si="204"/>
        <v>0</v>
      </c>
      <c r="M676" s="67">
        <f t="shared" si="204"/>
        <v>0</v>
      </c>
      <c r="N676" s="67">
        <f t="shared" si="204"/>
        <v>0</v>
      </c>
      <c r="O676" s="67">
        <f t="shared" si="204"/>
        <v>0</v>
      </c>
      <c r="P676" s="67">
        <f t="shared" si="204"/>
        <v>0</v>
      </c>
    </row>
    <row r="677" spans="2:16" ht="13" hidden="1" outlineLevel="1" x14ac:dyDescent="0.3">
      <c r="B677" s="14"/>
      <c r="C677" s="13" t="str">
        <f t="shared" si="190"/>
        <v>Cucharas</v>
      </c>
      <c r="D677" s="12" t="s">
        <v>41</v>
      </c>
      <c r="E677" s="12" t="s">
        <v>56</v>
      </c>
      <c r="F677" s="69">
        <f t="shared" si="161"/>
        <v>2035.1075000000005</v>
      </c>
      <c r="G677" s="14"/>
      <c r="H677" s="67">
        <f t="shared" ref="H677:P677" si="205">IF(-H165&gt;G677,0,
IF(H165+G677-(H508-G508)&lt;0,0,H165+G677-(H508-G508)))</f>
        <v>0</v>
      </c>
      <c r="I677" s="67">
        <f t="shared" si="205"/>
        <v>0</v>
      </c>
      <c r="J677" s="67">
        <f t="shared" si="205"/>
        <v>0</v>
      </c>
      <c r="K677" s="67">
        <f t="shared" si="205"/>
        <v>542.69533333333334</v>
      </c>
      <c r="L677" s="67">
        <f t="shared" si="205"/>
        <v>461.29103333333336</v>
      </c>
      <c r="M677" s="67">
        <f t="shared" si="205"/>
        <v>379.88673333333338</v>
      </c>
      <c r="N677" s="67">
        <f t="shared" si="205"/>
        <v>298.4824333333334</v>
      </c>
      <c r="O677" s="67">
        <f t="shared" si="205"/>
        <v>217.07813333333343</v>
      </c>
      <c r="P677" s="67">
        <f t="shared" si="205"/>
        <v>135.67383333333345</v>
      </c>
    </row>
    <row r="678" spans="2:16" ht="13" hidden="1" outlineLevel="1" x14ac:dyDescent="0.3">
      <c r="B678" s="14"/>
      <c r="C678" s="13" t="str">
        <f t="shared" si="190"/>
        <v>Equipo contra incendio</v>
      </c>
      <c r="D678" s="12" t="s">
        <v>41</v>
      </c>
      <c r="E678" s="12" t="s">
        <v>56</v>
      </c>
      <c r="F678" s="69">
        <f t="shared" si="161"/>
        <v>693.80290571428577</v>
      </c>
      <c r="G678" s="14"/>
      <c r="H678" s="67">
        <f t="shared" ref="H678:P678" si="206">IF(-H166&gt;G678,0,
IF(H166+G678-(H509-G509)&lt;0,0,H166+G678-(H509-G509)))</f>
        <v>0</v>
      </c>
      <c r="I678" s="67">
        <f t="shared" si="206"/>
        <v>0</v>
      </c>
      <c r="J678" s="67">
        <f t="shared" si="206"/>
        <v>0</v>
      </c>
      <c r="K678" s="67">
        <f t="shared" si="206"/>
        <v>0</v>
      </c>
      <c r="L678" s="67">
        <f t="shared" si="206"/>
        <v>0</v>
      </c>
      <c r="M678" s="67">
        <f t="shared" si="206"/>
        <v>220.75547</v>
      </c>
      <c r="N678" s="67">
        <f t="shared" si="206"/>
        <v>189.2189742857143</v>
      </c>
      <c r="O678" s="67">
        <f t="shared" si="206"/>
        <v>157.68247857142859</v>
      </c>
      <c r="P678" s="67">
        <f t="shared" si="206"/>
        <v>126.14598285714287</v>
      </c>
    </row>
    <row r="679" spans="2:16" ht="13" hidden="1" outlineLevel="1" x14ac:dyDescent="0.3">
      <c r="B679" s="14"/>
      <c r="C679" s="13" t="str">
        <f t="shared" si="190"/>
        <v>MHC (overhaul)</v>
      </c>
      <c r="D679" s="12" t="s">
        <v>41</v>
      </c>
      <c r="E679" s="12" t="s">
        <v>56</v>
      </c>
      <c r="F679" s="69">
        <f t="shared" si="161"/>
        <v>130.05675866666664</v>
      </c>
      <c r="G679" s="14"/>
      <c r="H679" s="67">
        <f t="shared" ref="H679:P679" si="207">IF(-H167&gt;G679,0,
IF(H167+G679-(H510-G510)&lt;0,0,H167+G679-(H510-G510)))</f>
        <v>0</v>
      </c>
      <c r="I679" s="67">
        <f t="shared" si="207"/>
        <v>0</v>
      </c>
      <c r="J679" s="67">
        <f t="shared" si="207"/>
        <v>0</v>
      </c>
      <c r="K679" s="67">
        <f t="shared" si="207"/>
        <v>0</v>
      </c>
      <c r="L679" s="67">
        <f t="shared" si="207"/>
        <v>0</v>
      </c>
      <c r="M679" s="67">
        <f t="shared" si="207"/>
        <v>49.003917666666659</v>
      </c>
      <c r="N679" s="67">
        <f t="shared" si="207"/>
        <v>38.010765666666657</v>
      </c>
      <c r="O679" s="67">
        <f t="shared" si="207"/>
        <v>27.017613666666659</v>
      </c>
      <c r="P679" s="67">
        <f t="shared" si="207"/>
        <v>16.024461666666657</v>
      </c>
    </row>
    <row r="680" spans="2:16" ht="13" hidden="1" outlineLevel="1" x14ac:dyDescent="0.3">
      <c r="B680" s="14"/>
      <c r="C680" s="13" t="str">
        <f t="shared" si="190"/>
        <v>RS (overhaul)</v>
      </c>
      <c r="D680" s="12" t="s">
        <v>41</v>
      </c>
      <c r="E680" s="12" t="s">
        <v>56</v>
      </c>
      <c r="F680" s="69">
        <f t="shared" si="161"/>
        <v>116.49631000000001</v>
      </c>
      <c r="G680" s="14"/>
      <c r="H680" s="67">
        <f t="shared" ref="H680:P680" si="208">IF(-H168&gt;G680,0,
IF(H168+G680-(H511-G511)&lt;0,0,H168+G680-(H511-G511)))</f>
        <v>0</v>
      </c>
      <c r="I680" s="67">
        <f t="shared" si="208"/>
        <v>0</v>
      </c>
      <c r="J680" s="67">
        <f t="shared" si="208"/>
        <v>0</v>
      </c>
      <c r="K680" s="67">
        <f t="shared" si="208"/>
        <v>0</v>
      </c>
      <c r="L680" s="67">
        <f t="shared" si="208"/>
        <v>0</v>
      </c>
      <c r="M680" s="67">
        <f t="shared" si="208"/>
        <v>47.468511250000006</v>
      </c>
      <c r="N680" s="67">
        <f t="shared" si="208"/>
        <v>35.238888750000001</v>
      </c>
      <c r="O680" s="67">
        <f t="shared" si="208"/>
        <v>23.00926625</v>
      </c>
      <c r="P680" s="67">
        <f t="shared" si="208"/>
        <v>10.779643750000002</v>
      </c>
    </row>
    <row r="681" spans="2:16" ht="13" hidden="1" outlineLevel="1" x14ac:dyDescent="0.3">
      <c r="B681" s="14"/>
      <c r="C681" s="13" t="str">
        <f t="shared" si="190"/>
        <v>Tolva</v>
      </c>
      <c r="D681" s="12" t="s">
        <v>41</v>
      </c>
      <c r="E681" s="12" t="s">
        <v>56</v>
      </c>
      <c r="F681" s="69">
        <f t="shared" si="161"/>
        <v>55.783951833333347</v>
      </c>
      <c r="G681" s="14"/>
      <c r="H681" s="67">
        <f t="shared" ref="H681:P681" si="209">IF(-H169&gt;G681,0,
IF(H169+G681-(H512-G512)&lt;0,0,H169+G681-(H512-G512)))</f>
        <v>0</v>
      </c>
      <c r="I681" s="67">
        <f t="shared" si="209"/>
        <v>0</v>
      </c>
      <c r="J681" s="67">
        <f t="shared" si="209"/>
        <v>0</v>
      </c>
      <c r="K681" s="67">
        <f t="shared" si="209"/>
        <v>0</v>
      </c>
      <c r="L681" s="67">
        <f t="shared" si="209"/>
        <v>0</v>
      </c>
      <c r="M681" s="67">
        <f t="shared" si="209"/>
        <v>0</v>
      </c>
      <c r="N681" s="67">
        <f t="shared" si="209"/>
        <v>19.963581944444446</v>
      </c>
      <c r="O681" s="67">
        <f t="shared" si="209"/>
        <v>18.594650611111113</v>
      </c>
      <c r="P681" s="67">
        <f t="shared" si="209"/>
        <v>17.225719277777781</v>
      </c>
    </row>
    <row r="682" spans="2:16" ht="13" hidden="1" outlineLevel="1" x14ac:dyDescent="0.3">
      <c r="B682" s="14"/>
      <c r="C682" s="13" t="str">
        <f t="shared" si="190"/>
        <v>Grúa Terex</v>
      </c>
      <c r="D682" s="12" t="s">
        <v>41</v>
      </c>
      <c r="E682" s="12" t="s">
        <v>56</v>
      </c>
      <c r="F682" s="69">
        <f t="shared" si="161"/>
        <v>1179.8924204999998</v>
      </c>
      <c r="G682" s="14"/>
      <c r="H682" s="67">
        <f t="shared" ref="H682:P682" si="210">IF(-H170&gt;G682,0,
IF(H170+G682-(H513-G513)&lt;0,0,H170+G682-(H513-G513)))</f>
        <v>0</v>
      </c>
      <c r="I682" s="67">
        <f t="shared" si="210"/>
        <v>0</v>
      </c>
      <c r="J682" s="67">
        <f t="shared" si="210"/>
        <v>0</v>
      </c>
      <c r="K682" s="67">
        <f t="shared" si="210"/>
        <v>0</v>
      </c>
      <c r="L682" s="67">
        <f t="shared" si="210"/>
        <v>0</v>
      </c>
      <c r="M682" s="67">
        <f t="shared" si="210"/>
        <v>0</v>
      </c>
      <c r="N682" s="67">
        <f t="shared" si="210"/>
        <v>439.56776449999995</v>
      </c>
      <c r="O682" s="67">
        <f t="shared" si="210"/>
        <v>393.29747349999997</v>
      </c>
      <c r="P682" s="67">
        <f t="shared" si="210"/>
        <v>347.02718249999998</v>
      </c>
    </row>
    <row r="683" spans="2:16" ht="13" hidden="1" outlineLevel="1" x14ac:dyDescent="0.3">
      <c r="B683" s="14"/>
      <c r="C683" s="13" t="str">
        <f t="shared" si="190"/>
        <v>Montacargas - reposición</v>
      </c>
      <c r="D683" s="12" t="s">
        <v>41</v>
      </c>
      <c r="E683" s="12" t="s">
        <v>56</v>
      </c>
      <c r="F683" s="69">
        <f t="shared" si="161"/>
        <v>156.67857142857142</v>
      </c>
      <c r="G683" s="14"/>
      <c r="H683" s="67">
        <f t="shared" ref="H683:P683" si="211">IF(-H171&gt;G683,0,
IF(H171+G683-(H514-G514)&lt;0,0,H171+G683-(H514-G514)))</f>
        <v>0</v>
      </c>
      <c r="I683" s="67">
        <f t="shared" si="211"/>
        <v>0</v>
      </c>
      <c r="J683" s="67">
        <f t="shared" si="211"/>
        <v>0</v>
      </c>
      <c r="K683" s="67">
        <f t="shared" si="211"/>
        <v>0</v>
      </c>
      <c r="L683" s="67">
        <f t="shared" si="211"/>
        <v>0</v>
      </c>
      <c r="M683" s="67">
        <f t="shared" si="211"/>
        <v>0</v>
      </c>
      <c r="N683" s="67">
        <f t="shared" si="211"/>
        <v>0</v>
      </c>
      <c r="O683" s="67">
        <f t="shared" si="211"/>
        <v>0</v>
      </c>
      <c r="P683" s="67">
        <f t="shared" si="211"/>
        <v>156.67857142857142</v>
      </c>
    </row>
    <row r="684" spans="2:16" ht="13" hidden="1" outlineLevel="1" x14ac:dyDescent="0.3">
      <c r="B684" s="14"/>
      <c r="C684" s="13" t="str">
        <f t="shared" si="190"/>
        <v>Reach stacker - reposición</v>
      </c>
      <c r="D684" s="12" t="s">
        <v>41</v>
      </c>
      <c r="E684" s="12" t="s">
        <v>56</v>
      </c>
      <c r="F684" s="69">
        <f t="shared" si="161"/>
        <v>1527.4956523333335</v>
      </c>
      <c r="G684" s="14"/>
      <c r="H684" s="67">
        <f t="shared" ref="H684:P684" si="212">IF(-H172&gt;G684,0,
IF(H172+G684-(H515-G515)&lt;0,0,H172+G684-(H515-G515)))</f>
        <v>0</v>
      </c>
      <c r="I684" s="67">
        <f t="shared" si="212"/>
        <v>0</v>
      </c>
      <c r="J684" s="67">
        <f t="shared" si="212"/>
        <v>0</v>
      </c>
      <c r="K684" s="67">
        <f t="shared" si="212"/>
        <v>0</v>
      </c>
      <c r="L684" s="67">
        <f t="shared" si="212"/>
        <v>0</v>
      </c>
      <c r="M684" s="67">
        <f t="shared" si="212"/>
        <v>0</v>
      </c>
      <c r="N684" s="67">
        <f t="shared" si="212"/>
        <v>0</v>
      </c>
      <c r="O684" s="67">
        <f t="shared" si="212"/>
        <v>0</v>
      </c>
      <c r="P684" s="67">
        <f t="shared" si="212"/>
        <v>1527.4956523333335</v>
      </c>
    </row>
    <row r="685" spans="2:16" ht="13" hidden="1" outlineLevel="1" x14ac:dyDescent="0.3">
      <c r="B685" s="14"/>
      <c r="C685" s="13" t="str">
        <f t="shared" si="190"/>
        <v>Terminal tractor - reposición</v>
      </c>
      <c r="D685" s="12" t="s">
        <v>41</v>
      </c>
      <c r="E685" s="12" t="s">
        <v>56</v>
      </c>
      <c r="F685" s="69">
        <f t="shared" si="161"/>
        <v>550.82194833333335</v>
      </c>
      <c r="G685" s="14"/>
      <c r="H685" s="67">
        <f t="shared" ref="H685:P685" si="213">IF(-H173&gt;G685,0,
IF(H173+G685-(H516-G516)&lt;0,0,H173+G685-(H516-G516)))</f>
        <v>0</v>
      </c>
      <c r="I685" s="67">
        <f t="shared" si="213"/>
        <v>0</v>
      </c>
      <c r="J685" s="67">
        <f t="shared" si="213"/>
        <v>0</v>
      </c>
      <c r="K685" s="67">
        <f t="shared" si="213"/>
        <v>0</v>
      </c>
      <c r="L685" s="67">
        <f t="shared" si="213"/>
        <v>0</v>
      </c>
      <c r="M685" s="67">
        <f t="shared" si="213"/>
        <v>0</v>
      </c>
      <c r="N685" s="67">
        <f t="shared" si="213"/>
        <v>0</v>
      </c>
      <c r="O685" s="67">
        <f t="shared" si="213"/>
        <v>0</v>
      </c>
      <c r="P685" s="67">
        <f t="shared" si="213"/>
        <v>550.82194833333335</v>
      </c>
    </row>
    <row r="686" spans="2:16" ht="13" hidden="1" outlineLevel="1" x14ac:dyDescent="0.3">
      <c r="B686" s="14"/>
      <c r="C686" s="13" t="str">
        <f t="shared" si="190"/>
        <v>Trailer - reposición</v>
      </c>
      <c r="D686" s="12" t="s">
        <v>41</v>
      </c>
      <c r="E686" s="12" t="s">
        <v>56</v>
      </c>
      <c r="F686" s="69">
        <f t="shared" si="161"/>
        <v>115.53089333333334</v>
      </c>
      <c r="G686" s="14"/>
      <c r="H686" s="67">
        <f t="shared" ref="H686:P686" si="214">IF(-H174&gt;G686,0,
IF(H174+G686-(H517-G517)&lt;0,0,H174+G686-(H517-G517)))</f>
        <v>0</v>
      </c>
      <c r="I686" s="67">
        <f t="shared" si="214"/>
        <v>0</v>
      </c>
      <c r="J686" s="67">
        <f t="shared" si="214"/>
        <v>0</v>
      </c>
      <c r="K686" s="67">
        <f t="shared" si="214"/>
        <v>0</v>
      </c>
      <c r="L686" s="67">
        <f t="shared" si="214"/>
        <v>0</v>
      </c>
      <c r="M686" s="67">
        <f t="shared" si="214"/>
        <v>0</v>
      </c>
      <c r="N686" s="67">
        <f t="shared" si="214"/>
        <v>0</v>
      </c>
      <c r="O686" s="67">
        <f t="shared" si="214"/>
        <v>0</v>
      </c>
      <c r="P686" s="67">
        <f t="shared" si="214"/>
        <v>115.53089333333334</v>
      </c>
    </row>
    <row r="687" spans="2:16" ht="13" hidden="1" outlineLevel="1" x14ac:dyDescent="0.3">
      <c r="B687" s="14"/>
      <c r="C687" s="13" t="str">
        <f t="shared" si="190"/>
        <v>Software y programas</v>
      </c>
      <c r="D687" s="12" t="s">
        <v>41</v>
      </c>
      <c r="E687" s="12" t="s">
        <v>56</v>
      </c>
      <c r="F687" s="69">
        <f t="shared" si="161"/>
        <v>7143.914305423149</v>
      </c>
      <c r="G687" s="14"/>
      <c r="H687" s="67">
        <f t="shared" ref="H687:P687" si="215">IF(-H175&gt;G687,0,
IF(H175+G687-(H518-G518)&lt;0,0,H175+G687-(H518-G518)))</f>
        <v>3.1991111111111112</v>
      </c>
      <c r="I687" s="67">
        <f t="shared" si="215"/>
        <v>274.22650538257557</v>
      </c>
      <c r="J687" s="67">
        <f t="shared" si="215"/>
        <v>2950.8814639940006</v>
      </c>
      <c r="K687" s="67">
        <f t="shared" si="215"/>
        <v>1922.0559692718562</v>
      </c>
      <c r="L687" s="67">
        <f t="shared" si="215"/>
        <v>1254.5470400268703</v>
      </c>
      <c r="M687" s="67">
        <f t="shared" si="215"/>
        <v>739.00421563673535</v>
      </c>
      <c r="N687" s="67">
        <f t="shared" si="215"/>
        <v>0</v>
      </c>
      <c r="O687" s="67">
        <f t="shared" si="215"/>
        <v>0</v>
      </c>
      <c r="P687" s="67">
        <f t="shared" si="215"/>
        <v>0</v>
      </c>
    </row>
    <row r="688" spans="2:16" collapsed="1" x14ac:dyDescent="0.25"/>
    <row r="689" spans="2:16" s="7" customFormat="1" ht="13" x14ac:dyDescent="0.3">
      <c r="C689" s="229" t="s">
        <v>463</v>
      </c>
      <c r="D689" s="257" t="s">
        <v>322</v>
      </c>
      <c r="E689" s="257" t="s">
        <v>56</v>
      </c>
      <c r="F689" s="258">
        <f t="shared" ref="F689" si="216">+SUM(H689:P689)</f>
        <v>2301151.8306748793</v>
      </c>
      <c r="G689" s="229"/>
      <c r="H689" s="259">
        <f>+SUM(H522:H687)</f>
        <v>63850.088596549445</v>
      </c>
      <c r="I689" s="259">
        <f t="shared" ref="I689:P689" si="217">+SUM(I522:I687)</f>
        <v>63023.930454084119</v>
      </c>
      <c r="J689" s="259">
        <f t="shared" si="217"/>
        <v>76543.220138980585</v>
      </c>
      <c r="K689" s="259">
        <f t="shared" si="217"/>
        <v>85146.808817352779</v>
      </c>
      <c r="L689" s="259">
        <f t="shared" si="217"/>
        <v>229251.22545917644</v>
      </c>
      <c r="M689" s="259">
        <f t="shared" si="217"/>
        <v>471508.98017538065</v>
      </c>
      <c r="N689" s="259">
        <f t="shared" si="217"/>
        <v>464730.41672347038</v>
      </c>
      <c r="O689" s="259">
        <f t="shared" si="217"/>
        <v>436659.22754790541</v>
      </c>
      <c r="P689" s="259">
        <f t="shared" si="217"/>
        <v>410437.93276197917</v>
      </c>
    </row>
    <row r="691" spans="2:16" ht="13" x14ac:dyDescent="0.3">
      <c r="B691" s="61" t="s">
        <v>130</v>
      </c>
      <c r="C691" s="61"/>
      <c r="D691" s="62"/>
      <c r="E691" s="62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</row>
    <row r="693" spans="2:16" ht="13" x14ac:dyDescent="0.3">
      <c r="B693" s="3" t="s">
        <v>131</v>
      </c>
      <c r="C693" s="1"/>
      <c r="D693" s="1"/>
      <c r="E693" s="1"/>
      <c r="F693" s="1"/>
      <c r="G693" s="1"/>
      <c r="H693" s="146"/>
      <c r="I693" s="215"/>
      <c r="J693" s="215"/>
      <c r="K693" s="215"/>
      <c r="L693" s="215"/>
      <c r="M693" s="215"/>
      <c r="N693" s="215"/>
      <c r="O693" s="215"/>
      <c r="P693" s="215"/>
    </row>
    <row r="694" spans="2:16" x14ac:dyDescent="0.25"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2:16" ht="13" x14ac:dyDescent="0.3">
      <c r="B695" s="7" t="s">
        <v>301</v>
      </c>
    </row>
    <row r="696" spans="2:16" x14ac:dyDescent="0.25">
      <c r="C696" s="407" t="s">
        <v>231</v>
      </c>
      <c r="D696" s="408" t="s">
        <v>79</v>
      </c>
      <c r="E696" s="408" t="s">
        <v>39</v>
      </c>
      <c r="F696" s="409" t="s">
        <v>40</v>
      </c>
      <c r="G696" s="28"/>
      <c r="H696" s="410">
        <f>+'Precios de capital'!H181</f>
        <v>100</v>
      </c>
      <c r="I696" s="410">
        <f>+'Precios de capital'!I181</f>
        <v>103.0428359489749</v>
      </c>
      <c r="J696" s="410">
        <f>+'Precios de capital'!J181</f>
        <v>101.00380156352711</v>
      </c>
      <c r="K696" s="410">
        <f>+'Precios de capital'!K181</f>
        <v>97.874052716763998</v>
      </c>
      <c r="L696" s="410">
        <f>+'Precios de capital'!L181</f>
        <v>90.534662738531736</v>
      </c>
      <c r="M696" s="410">
        <f>+'Precios de capital'!M181</f>
        <v>88.061011517525486</v>
      </c>
      <c r="N696" s="410">
        <f>+'Precios de capital'!N181</f>
        <v>92.959124506900366</v>
      </c>
      <c r="O696" s="410">
        <f>+'Precios de capital'!O181</f>
        <v>95.74558938479187</v>
      </c>
      <c r="P696" s="410">
        <f>+'Precios de capital'!P181</f>
        <v>94.845294524796458</v>
      </c>
    </row>
    <row r="697" spans="2:16" x14ac:dyDescent="0.25">
      <c r="C697" s="407" t="s">
        <v>230</v>
      </c>
      <c r="D697" s="408" t="s">
        <v>79</v>
      </c>
      <c r="E697" s="408" t="s">
        <v>39</v>
      </c>
      <c r="F697" s="409" t="s">
        <v>40</v>
      </c>
      <c r="G697" s="28"/>
      <c r="H697" s="410">
        <f>+'Precios de capital'!H184</f>
        <v>100</v>
      </c>
      <c r="I697" s="410">
        <f>+'Precios de capital'!I184</f>
        <v>103.24146598977163</v>
      </c>
      <c r="J697" s="410">
        <f>+'Precios de capital'!J184</f>
        <v>102.97174693018994</v>
      </c>
      <c r="K697" s="410">
        <f>+'Precios de capital'!K184</f>
        <v>102.42837497750099</v>
      </c>
      <c r="L697" s="410">
        <f>+'Precios de capital'!L184</f>
        <v>99.005093403797019</v>
      </c>
      <c r="M697" s="410">
        <f>+'Precios de capital'!M184</f>
        <v>97.717286030531596</v>
      </c>
      <c r="N697" s="410">
        <f>+'Precios de capital'!N184</f>
        <v>98.760070003494945</v>
      </c>
      <c r="O697" s="410">
        <f>+'Precios de capital'!O184</f>
        <v>98.488805227819526</v>
      </c>
      <c r="P697" s="410">
        <f>+'Precios de capital'!P184</f>
        <v>98.51529731309563</v>
      </c>
    </row>
    <row r="699" spans="2:16" ht="13" x14ac:dyDescent="0.3">
      <c r="B699" s="3" t="s">
        <v>475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1" spans="2:16" ht="13" x14ac:dyDescent="0.3">
      <c r="B701" s="14" t="s">
        <v>467</v>
      </c>
    </row>
    <row r="702" spans="2:16" ht="13" hidden="1" outlineLevel="1" x14ac:dyDescent="0.3">
      <c r="B702" s="14"/>
      <c r="C702" s="13" t="s">
        <v>468</v>
      </c>
      <c r="D702" s="12" t="s">
        <v>41</v>
      </c>
      <c r="E702" s="12" t="s">
        <v>56</v>
      </c>
      <c r="F702" s="69">
        <v>234302.00857500001</v>
      </c>
      <c r="H702" s="67">
        <f t="shared" ref="H702:P702" si="218">+H523/H696</f>
        <v>301.03949708333334</v>
      </c>
      <c r="I702" s="67">
        <f t="shared" si="218"/>
        <v>282.27436813498042</v>
      </c>
      <c r="J702" s="67">
        <f t="shared" si="218"/>
        <v>277.897986747353</v>
      </c>
      <c r="K702" s="67">
        <f t="shared" si="218"/>
        <v>276.3873984723632</v>
      </c>
      <c r="L702" s="67">
        <f t="shared" si="218"/>
        <v>287.55347091223439</v>
      </c>
      <c r="M702" s="67">
        <f t="shared" si="218"/>
        <v>284.07529935486582</v>
      </c>
      <c r="N702" s="67">
        <f t="shared" si="218"/>
        <v>258.16034774027952</v>
      </c>
      <c r="O702" s="67">
        <f t="shared" si="218"/>
        <v>240.01901033765617</v>
      </c>
      <c r="P702" s="67">
        <f t="shared" si="218"/>
        <v>231.56829675499895</v>
      </c>
    </row>
    <row r="703" spans="2:16" hidden="1" outlineLevel="1" x14ac:dyDescent="0.25">
      <c r="C703" s="13" t="s">
        <v>64</v>
      </c>
      <c r="D703" s="12" t="s">
        <v>41</v>
      </c>
      <c r="E703" s="12" t="s">
        <v>56</v>
      </c>
      <c r="F703" s="69">
        <v>139598.61547499997</v>
      </c>
      <c r="H703" s="67">
        <f t="shared" ref="H703:P703" si="219">+H524/H697</f>
        <v>266.23284875000002</v>
      </c>
      <c r="I703" s="67">
        <f t="shared" si="219"/>
        <v>230.96536596412145</v>
      </c>
      <c r="J703" s="67">
        <f t="shared" si="219"/>
        <v>204.59127579220859</v>
      </c>
      <c r="K703" s="67">
        <f t="shared" si="219"/>
        <v>178.55442087231486</v>
      </c>
      <c r="L703" s="67">
        <f t="shared" si="219"/>
        <v>156.6682757596906</v>
      </c>
      <c r="M703" s="67">
        <f t="shared" si="219"/>
        <v>130.30320317145967</v>
      </c>
      <c r="N703" s="67">
        <f t="shared" si="219"/>
        <v>100.79775636699844</v>
      </c>
      <c r="O703" s="67">
        <f t="shared" si="219"/>
        <v>72.868297654735201</v>
      </c>
      <c r="P703" s="67">
        <f t="shared" si="219"/>
        <v>44.649204691739619</v>
      </c>
    </row>
    <row r="704" spans="2:16" collapsed="1" x14ac:dyDescent="0.25">
      <c r="H704" s="8"/>
      <c r="I704" s="8"/>
      <c r="J704" s="8"/>
      <c r="K704" s="8"/>
      <c r="L704" s="8"/>
      <c r="M704" s="8"/>
      <c r="N704" s="8"/>
      <c r="O704" s="8"/>
      <c r="P704" s="8"/>
    </row>
    <row r="705" spans="2:16" ht="13" x14ac:dyDescent="0.3">
      <c r="B705" s="14" t="s">
        <v>324</v>
      </c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2:16" hidden="1" outlineLevel="1" x14ac:dyDescent="0.25">
      <c r="C706" s="13" t="s">
        <v>317</v>
      </c>
      <c r="D706" s="12" t="s">
        <v>41</v>
      </c>
      <c r="E706" s="12" t="s">
        <v>56</v>
      </c>
      <c r="F706" s="69">
        <v>20.217055103158366</v>
      </c>
      <c r="G706" s="13"/>
      <c r="H706" s="67">
        <f t="shared" ref="H706:P706" si="220">+H527/H$696</f>
        <v>0</v>
      </c>
      <c r="I706" s="67">
        <f t="shared" si="220"/>
        <v>4.9497356398844249E-2</v>
      </c>
      <c r="J706" s="67">
        <f t="shared" si="220"/>
        <v>4.3195918881911474E-2</v>
      </c>
      <c r="K706" s="67">
        <f t="shared" si="220"/>
        <v>3.7043032203266595E-2</v>
      </c>
      <c r="L706" s="67">
        <f t="shared" si="220"/>
        <v>3.1901056090979381E-2</v>
      </c>
      <c r="M706" s="67">
        <f t="shared" si="220"/>
        <v>2.4423419453003564E-2</v>
      </c>
      <c r="N706" s="67">
        <f t="shared" si="220"/>
        <v>1.5204001724348108E-2</v>
      </c>
      <c r="O706" s="67">
        <f t="shared" si="220"/>
        <v>7.0598589573534079E-3</v>
      </c>
      <c r="P706" s="67">
        <f t="shared" si="220"/>
        <v>0</v>
      </c>
    </row>
    <row r="707" spans="2:16" hidden="1" outlineLevel="1" x14ac:dyDescent="0.25">
      <c r="C707" s="13" t="s">
        <v>318</v>
      </c>
      <c r="D707" s="12" t="s">
        <v>41</v>
      </c>
      <c r="E707" s="12" t="s">
        <v>56</v>
      </c>
      <c r="F707" s="69">
        <v>17.629194852031205</v>
      </c>
      <c r="G707" s="13"/>
      <c r="H707" s="67">
        <f t="shared" ref="H707:P707" si="221">+H528/H$696</f>
        <v>0</v>
      </c>
      <c r="I707" s="67">
        <f t="shared" si="221"/>
        <v>2.4384997916261891E-2</v>
      </c>
      <c r="J707" s="67">
        <f t="shared" si="221"/>
        <v>2.4003050450731565E-2</v>
      </c>
      <c r="K707" s="67">
        <f t="shared" si="221"/>
        <v>2.3868423596895179E-2</v>
      </c>
      <c r="L707" s="67">
        <f t="shared" si="221"/>
        <v>2.4828052440244597E-2</v>
      </c>
      <c r="M707" s="67">
        <f t="shared" si="221"/>
        <v>2.4522763498417269E-2</v>
      </c>
      <c r="N707" s="67">
        <f t="shared" si="221"/>
        <v>2.2280753767915308E-2</v>
      </c>
      <c r="O707" s="67">
        <f t="shared" si="221"/>
        <v>2.0710085771091846E-2</v>
      </c>
      <c r="P707" s="67">
        <f t="shared" si="221"/>
        <v>1.9975681267044895E-2</v>
      </c>
    </row>
    <row r="708" spans="2:16" hidden="1" outlineLevel="1" x14ac:dyDescent="0.25">
      <c r="C708" s="13" t="s">
        <v>319</v>
      </c>
      <c r="D708" s="12" t="s">
        <v>41</v>
      </c>
      <c r="E708" s="12" t="s">
        <v>56</v>
      </c>
      <c r="F708" s="69">
        <v>1579.2674691913514</v>
      </c>
      <c r="G708" s="13"/>
      <c r="H708" s="67">
        <f t="shared" ref="H708:P708" si="222">+H529/H$696</f>
        <v>0</v>
      </c>
      <c r="I708" s="67">
        <f t="shared" si="222"/>
        <v>0</v>
      </c>
      <c r="J708" s="67">
        <f t="shared" si="222"/>
        <v>2.5073789886959705</v>
      </c>
      <c r="K708" s="67">
        <f t="shared" si="222"/>
        <v>2.4930847920588253</v>
      </c>
      <c r="L708" s="67">
        <f t="shared" si="222"/>
        <v>2.5930600259687719</v>
      </c>
      <c r="M708" s="67">
        <f t="shared" si="222"/>
        <v>2.560898558535103</v>
      </c>
      <c r="N708" s="67">
        <f t="shared" si="222"/>
        <v>2.3264937267007442</v>
      </c>
      <c r="O708" s="67">
        <f t="shared" si="222"/>
        <v>2.1622126291313357</v>
      </c>
      <c r="P708" s="67">
        <f t="shared" si="222"/>
        <v>2.085246570099863</v>
      </c>
    </row>
    <row r="709" spans="2:16" hidden="1" outlineLevel="1" x14ac:dyDescent="0.25">
      <c r="C709" s="13" t="s">
        <v>321</v>
      </c>
      <c r="D709" s="12" t="s">
        <v>41</v>
      </c>
      <c r="E709" s="12" t="s">
        <v>56</v>
      </c>
      <c r="F709" s="69">
        <v>23.06190476190476</v>
      </c>
      <c r="G709" s="13"/>
      <c r="H709" s="67">
        <f t="shared" ref="H709:P709" si="223">+H530/H$696</f>
        <v>0</v>
      </c>
      <c r="I709" s="67">
        <f t="shared" si="223"/>
        <v>0</v>
      </c>
      <c r="J709" s="67">
        <f t="shared" si="223"/>
        <v>0</v>
      </c>
      <c r="K709" s="67">
        <f t="shared" si="223"/>
        <v>0</v>
      </c>
      <c r="L709" s="67">
        <f t="shared" si="223"/>
        <v>0</v>
      </c>
      <c r="M709" s="67">
        <f t="shared" si="223"/>
        <v>8.579008774227391E-2</v>
      </c>
      <c r="N709" s="67">
        <f t="shared" si="223"/>
        <v>6.8437657902345198E-2</v>
      </c>
      <c r="O709" s="67">
        <f t="shared" si="223"/>
        <v>5.3987318395145464E-2</v>
      </c>
      <c r="P709" s="67">
        <f t="shared" si="223"/>
        <v>4.1922907152246086E-2</v>
      </c>
    </row>
    <row r="710" spans="2:16" hidden="1" outlineLevel="1" x14ac:dyDescent="0.25">
      <c r="C710" s="13" t="s">
        <v>344</v>
      </c>
      <c r="D710" s="12" t="s">
        <v>41</v>
      </c>
      <c r="E710" s="12" t="s">
        <v>56</v>
      </c>
      <c r="F710" s="69">
        <v>966.27806903040664</v>
      </c>
      <c r="G710" s="13"/>
      <c r="H710" s="67">
        <f t="shared" ref="H710:P710" si="224">+H531/H$696</f>
        <v>0.56267043497432523</v>
      </c>
      <c r="I710" s="67">
        <f t="shared" si="224"/>
        <v>0.82170031040859826</v>
      </c>
      <c r="J710" s="67">
        <f t="shared" si="224"/>
        <v>1.8822025566468497</v>
      </c>
      <c r="K710" s="67">
        <f t="shared" si="224"/>
        <v>1.6838582814956631</v>
      </c>
      <c r="L710" s="67">
        <f t="shared" si="224"/>
        <v>1.5408859246469049</v>
      </c>
      <c r="M710" s="67">
        <f t="shared" si="224"/>
        <v>1.2968411199719458</v>
      </c>
      <c r="N710" s="67">
        <f t="shared" si="224"/>
        <v>0.95632025978733493</v>
      </c>
      <c r="O710" s="67">
        <f t="shared" si="224"/>
        <v>0.66750659700510406</v>
      </c>
      <c r="P710" s="67">
        <f t="shared" si="224"/>
        <v>0</v>
      </c>
    </row>
    <row r="711" spans="2:16" hidden="1" outlineLevel="1" x14ac:dyDescent="0.25">
      <c r="C711" s="13" t="s">
        <v>345</v>
      </c>
      <c r="D711" s="12" t="s">
        <v>41</v>
      </c>
      <c r="E711" s="12" t="s">
        <v>56</v>
      </c>
      <c r="F711" s="69">
        <v>6396.5778306372449</v>
      </c>
      <c r="G711" s="13"/>
      <c r="H711" s="67">
        <f t="shared" ref="H711:P711" si="225">+H532/H$696</f>
        <v>2.2811991550080828</v>
      </c>
      <c r="I711" s="67">
        <f t="shared" si="225"/>
        <v>8.592667261763383</v>
      </c>
      <c r="J711" s="67">
        <f t="shared" si="225"/>
        <v>11.134438418798654</v>
      </c>
      <c r="K711" s="67">
        <f t="shared" si="225"/>
        <v>10.823967835779818</v>
      </c>
      <c r="L711" s="67">
        <f t="shared" si="225"/>
        <v>10.294788703311703</v>
      </c>
      <c r="M711" s="67">
        <f t="shared" si="225"/>
        <v>8.7314603541359066</v>
      </c>
      <c r="N711" s="67">
        <f t="shared" si="225"/>
        <v>6.5231230906279167</v>
      </c>
      <c r="O711" s="67">
        <f t="shared" si="225"/>
        <v>4.653462168662541</v>
      </c>
      <c r="P711" s="67">
        <f t="shared" si="225"/>
        <v>3.6498401224058923</v>
      </c>
    </row>
    <row r="712" spans="2:16" hidden="1" outlineLevel="1" x14ac:dyDescent="0.25">
      <c r="C712" s="13" t="s">
        <v>346</v>
      </c>
      <c r="D712" s="12" t="s">
        <v>41</v>
      </c>
      <c r="E712" s="12" t="s">
        <v>56</v>
      </c>
      <c r="F712" s="69">
        <v>67.985722500000051</v>
      </c>
      <c r="G712" s="13"/>
      <c r="H712" s="67">
        <f t="shared" ref="H712:P712" si="226">+H533/H$696</f>
        <v>0</v>
      </c>
      <c r="I712" s="67">
        <f t="shared" si="226"/>
        <v>0.46214295227906532</v>
      </c>
      <c r="J712" s="67">
        <f t="shared" si="226"/>
        <v>0.13866839861326863</v>
      </c>
      <c r="K712" s="67">
        <f t="shared" si="226"/>
        <v>0</v>
      </c>
      <c r="L712" s="67">
        <f t="shared" si="226"/>
        <v>0</v>
      </c>
      <c r="M712" s="67">
        <f t="shared" si="226"/>
        <v>4.6290507213599653E-2</v>
      </c>
      <c r="N712" s="67">
        <f t="shared" si="226"/>
        <v>2.2802734357345252E-2</v>
      </c>
      <c r="O712" s="67">
        <f t="shared" si="226"/>
        <v>1.7030085312887341E-3</v>
      </c>
      <c r="P712" s="67">
        <f t="shared" si="226"/>
        <v>1.0300946046561233E-16</v>
      </c>
    </row>
    <row r="713" spans="2:16" ht="13" hidden="1" outlineLevel="1" x14ac:dyDescent="0.3">
      <c r="C713" s="13" t="s">
        <v>347</v>
      </c>
      <c r="D713" s="12" t="s">
        <v>41</v>
      </c>
      <c r="E713" s="12" t="s">
        <v>56</v>
      </c>
      <c r="F713" s="69">
        <v>5133.1373751502015</v>
      </c>
      <c r="G713" s="14"/>
      <c r="H713" s="67">
        <f t="shared" ref="H713:P713" si="227">+H534/H$696</f>
        <v>1.8900256055125357</v>
      </c>
      <c r="I713" s="67">
        <f t="shared" si="227"/>
        <v>3.2387715103832626</v>
      </c>
      <c r="J713" s="67">
        <f t="shared" si="227"/>
        <v>4.5473894000562556</v>
      </c>
      <c r="K713" s="67">
        <f t="shared" si="227"/>
        <v>5.2974089905901822</v>
      </c>
      <c r="L713" s="67">
        <f t="shared" si="227"/>
        <v>9.3070859151440128</v>
      </c>
      <c r="M713" s="67">
        <f t="shared" si="227"/>
        <v>9.2925413795467673</v>
      </c>
      <c r="N713" s="67">
        <f t="shared" si="227"/>
        <v>7.9326946550675279</v>
      </c>
      <c r="O713" s="67">
        <f t="shared" si="227"/>
        <v>6.8569436043831171</v>
      </c>
      <c r="P713" s="67">
        <f t="shared" si="227"/>
        <v>6.0915744731181416</v>
      </c>
    </row>
    <row r="714" spans="2:16" collapsed="1" x14ac:dyDescent="0.25">
      <c r="C714" s="13"/>
      <c r="D714" s="12"/>
      <c r="E714" s="12"/>
      <c r="F714" s="69"/>
      <c r="G714" s="13"/>
      <c r="H714" s="67"/>
      <c r="I714" s="67"/>
      <c r="J714" s="67"/>
      <c r="K714" s="67"/>
      <c r="L714" s="67"/>
      <c r="M714" s="67"/>
      <c r="N714" s="67"/>
      <c r="O714" s="67"/>
      <c r="P714" s="67"/>
    </row>
    <row r="715" spans="2:16" ht="13" x14ac:dyDescent="0.3">
      <c r="B715" s="14" t="s">
        <v>320</v>
      </c>
      <c r="C715" s="13"/>
      <c r="D715" s="13"/>
      <c r="E715" s="12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2:16" ht="13" hidden="1" outlineLevel="1" x14ac:dyDescent="0.3">
      <c r="B716" s="14"/>
      <c r="C716" s="13" t="s">
        <v>323</v>
      </c>
      <c r="D716" s="12" t="s">
        <v>41</v>
      </c>
      <c r="E716" s="12" t="s">
        <v>56</v>
      </c>
      <c r="F716" s="69">
        <v>639.10436642857155</v>
      </c>
      <c r="G716" s="14"/>
      <c r="H716" s="67">
        <f t="shared" ref="H716:P716" si="228">+H537/H$697</f>
        <v>0</v>
      </c>
      <c r="I716" s="67">
        <f t="shared" si="228"/>
        <v>0</v>
      </c>
      <c r="J716" s="67">
        <f t="shared" si="228"/>
        <v>1.2455501169221046</v>
      </c>
      <c r="K716" s="67">
        <f t="shared" si="228"/>
        <v>1.2619588766511463</v>
      </c>
      <c r="L716" s="67">
        <f t="shared" si="228"/>
        <v>1.0767788425404772</v>
      </c>
      <c r="M716" s="67">
        <f t="shared" si="228"/>
        <v>0.89715919128302557</v>
      </c>
      <c r="N716" s="67">
        <f t="shared" si="228"/>
        <v>0.91109201630111847</v>
      </c>
      <c r="O716" s="67">
        <f t="shared" si="228"/>
        <v>0.63469857332587143</v>
      </c>
      <c r="P716" s="67">
        <f t="shared" si="228"/>
        <v>0.35347537143244095</v>
      </c>
    </row>
    <row r="717" spans="2:16" ht="13" hidden="1" outlineLevel="1" x14ac:dyDescent="0.3">
      <c r="B717" s="14"/>
      <c r="C717" s="13" t="s">
        <v>326</v>
      </c>
      <c r="D717" s="12" t="s">
        <v>41</v>
      </c>
      <c r="E717" s="12" t="s">
        <v>56</v>
      </c>
      <c r="F717" s="69">
        <v>2291.2320669362921</v>
      </c>
      <c r="G717" s="14"/>
      <c r="H717" s="67">
        <f t="shared" ref="H717:P717" si="229">+H538/H$697</f>
        <v>5.6574926260141503</v>
      </c>
      <c r="I717" s="67">
        <f t="shared" si="229"/>
        <v>4.8268422112463698</v>
      </c>
      <c r="J717" s="67">
        <f t="shared" si="229"/>
        <v>4.351501671523561</v>
      </c>
      <c r="K717" s="67">
        <f t="shared" si="229"/>
        <v>2.960419218059358</v>
      </c>
      <c r="L717" s="67">
        <f t="shared" si="229"/>
        <v>1.6075634322049965</v>
      </c>
      <c r="M717" s="67">
        <f t="shared" si="229"/>
        <v>0.81020187114885889</v>
      </c>
      <c r="N717" s="67">
        <f t="shared" si="229"/>
        <v>0</v>
      </c>
      <c r="O717" s="67">
        <f t="shared" si="229"/>
        <v>0</v>
      </c>
      <c r="P717" s="67">
        <f t="shared" si="229"/>
        <v>0</v>
      </c>
    </row>
    <row r="718" spans="2:16" ht="13" hidden="1" outlineLevel="1" x14ac:dyDescent="0.3">
      <c r="B718" s="14"/>
      <c r="C718" s="13" t="s">
        <v>327</v>
      </c>
      <c r="D718" s="12" t="s">
        <v>41</v>
      </c>
      <c r="E718" s="12" t="s">
        <v>56</v>
      </c>
      <c r="F718" s="69">
        <v>1427.4094824727727</v>
      </c>
      <c r="G718" s="14"/>
      <c r="H718" s="67">
        <f t="shared" ref="H718:P718" si="230">+H539/H$697</f>
        <v>4.8345837748239155</v>
      </c>
      <c r="I718" s="67">
        <f t="shared" si="230"/>
        <v>3.7541410542161007</v>
      </c>
      <c r="J718" s="67">
        <f t="shared" si="230"/>
        <v>2.7825062396434652</v>
      </c>
      <c r="K718" s="67">
        <f t="shared" si="230"/>
        <v>1.8105922932095508</v>
      </c>
      <c r="L718" s="67">
        <f t="shared" si="230"/>
        <v>0.85240588578652521</v>
      </c>
      <c r="M718" s="67">
        <f t="shared" si="230"/>
        <v>0</v>
      </c>
      <c r="N718" s="67">
        <f t="shared" si="230"/>
        <v>0</v>
      </c>
      <c r="O718" s="67">
        <f t="shared" si="230"/>
        <v>0</v>
      </c>
      <c r="P718" s="67">
        <f t="shared" si="230"/>
        <v>0</v>
      </c>
    </row>
    <row r="719" spans="2:16" ht="13" hidden="1" outlineLevel="1" x14ac:dyDescent="0.3">
      <c r="B719" s="14"/>
      <c r="C719" s="13" t="s">
        <v>328</v>
      </c>
      <c r="D719" s="12" t="s">
        <v>41</v>
      </c>
      <c r="E719" s="12" t="s">
        <v>56</v>
      </c>
      <c r="F719" s="69">
        <v>23.901239081062879</v>
      </c>
      <c r="G719" s="14"/>
      <c r="H719" s="67">
        <f t="shared" ref="H719:P719" si="231">+H540/H$697</f>
        <v>6.5469538296992411E-2</v>
      </c>
      <c r="I719" s="67">
        <f t="shared" si="231"/>
        <v>5.0838271290534059E-2</v>
      </c>
      <c r="J719" s="67">
        <f t="shared" si="231"/>
        <v>3.7680487824013828E-2</v>
      </c>
      <c r="K719" s="67">
        <f t="shared" si="231"/>
        <v>2.4518925121794679E-2</v>
      </c>
      <c r="L719" s="67">
        <f t="shared" si="231"/>
        <v>1.1543261231614829E-2</v>
      </c>
      <c r="M719" s="67">
        <f t="shared" si="231"/>
        <v>0</v>
      </c>
      <c r="N719" s="67">
        <f t="shared" si="231"/>
        <v>0</v>
      </c>
      <c r="O719" s="67">
        <f t="shared" si="231"/>
        <v>0</v>
      </c>
      <c r="P719" s="67">
        <f t="shared" si="231"/>
        <v>0</v>
      </c>
    </row>
    <row r="720" spans="2:16" ht="13" hidden="1" outlineLevel="1" x14ac:dyDescent="0.3">
      <c r="B720" s="14"/>
      <c r="C720" s="13" t="s">
        <v>329</v>
      </c>
      <c r="D720" s="12" t="s">
        <v>41</v>
      </c>
      <c r="E720" s="12" t="s">
        <v>56</v>
      </c>
      <c r="F720" s="69">
        <v>52.943318326908248</v>
      </c>
      <c r="G720" s="14"/>
      <c r="H720" s="67">
        <f t="shared" ref="H720:P720" si="232">+H541/H$697</f>
        <v>0</v>
      </c>
      <c r="I720" s="67">
        <f t="shared" si="232"/>
        <v>0.17093685053457044</v>
      </c>
      <c r="J720" s="67">
        <f t="shared" si="232"/>
        <v>0.13710767721980116</v>
      </c>
      <c r="K720" s="67">
        <f t="shared" si="232"/>
        <v>0.10337626700793991</v>
      </c>
      <c r="L720" s="67">
        <f t="shared" si="232"/>
        <v>7.1300463422347554E-2</v>
      </c>
      <c r="M720" s="67">
        <f t="shared" si="232"/>
        <v>3.6120068252414705E-2</v>
      </c>
      <c r="N720" s="67">
        <f t="shared" si="232"/>
        <v>1.0539315438316517E-8</v>
      </c>
      <c r="O720" s="67">
        <f t="shared" si="232"/>
        <v>1.0568343560157717E-8</v>
      </c>
      <c r="P720" s="67">
        <f t="shared" si="232"/>
        <v>1.0565501590773682E-8</v>
      </c>
    </row>
    <row r="721" spans="2:16" ht="13" hidden="1" outlineLevel="1" x14ac:dyDescent="0.3">
      <c r="B721" s="14"/>
      <c r="C721" s="13" t="s">
        <v>330</v>
      </c>
      <c r="D721" s="12" t="s">
        <v>41</v>
      </c>
      <c r="E721" s="12" t="s">
        <v>56</v>
      </c>
      <c r="F721" s="69">
        <v>133.45485999999997</v>
      </c>
      <c r="G721" s="14"/>
      <c r="H721" s="67">
        <f t="shared" ref="H721:P721" si="233">+H542/H$697</f>
        <v>0</v>
      </c>
      <c r="I721" s="67">
        <f t="shared" si="233"/>
        <v>0</v>
      </c>
      <c r="J721" s="67">
        <f t="shared" si="233"/>
        <v>0</v>
      </c>
      <c r="K721" s="67">
        <f t="shared" si="233"/>
        <v>0</v>
      </c>
      <c r="L721" s="67">
        <f t="shared" si="233"/>
        <v>0</v>
      </c>
      <c r="M721" s="67">
        <f t="shared" si="233"/>
        <v>0.5170241525559196</v>
      </c>
      <c r="N721" s="67">
        <f t="shared" si="233"/>
        <v>0.3957389762746919</v>
      </c>
      <c r="O721" s="67">
        <f t="shared" si="233"/>
        <v>0.28068389027620677</v>
      </c>
      <c r="P721" s="67">
        <f t="shared" si="233"/>
        <v>0.16449458553119373</v>
      </c>
    </row>
    <row r="722" spans="2:16" ht="13" hidden="1" outlineLevel="1" x14ac:dyDescent="0.3">
      <c r="B722" s="14"/>
      <c r="C722" s="13" t="s">
        <v>63</v>
      </c>
      <c r="D722" s="12" t="s">
        <v>41</v>
      </c>
      <c r="E722" s="12" t="s">
        <v>56</v>
      </c>
      <c r="F722" s="69">
        <v>3241.9175742963953</v>
      </c>
      <c r="G722" s="14"/>
      <c r="H722" s="67">
        <f t="shared" ref="H722:P722" si="234">+H543/H$697</f>
        <v>2.2809984281167774</v>
      </c>
      <c r="I722" s="67">
        <f t="shared" si="234"/>
        <v>2.3413856543202467</v>
      </c>
      <c r="J722" s="67">
        <f t="shared" si="234"/>
        <v>1.4334055311108149</v>
      </c>
      <c r="K722" s="67">
        <f t="shared" si="234"/>
        <v>0.65628376475107453</v>
      </c>
      <c r="L722" s="67">
        <f t="shared" si="234"/>
        <v>1.6728411717717653</v>
      </c>
      <c r="M722" s="67">
        <f t="shared" si="234"/>
        <v>3.1260249762085839</v>
      </c>
      <c r="N722" s="67">
        <f t="shared" si="234"/>
        <v>9.2331947014600804</v>
      </c>
      <c r="O722" s="67">
        <f t="shared" si="234"/>
        <v>6.4197137374434829</v>
      </c>
      <c r="P722" s="67">
        <f t="shared" si="234"/>
        <v>5.5020889501036816</v>
      </c>
    </row>
    <row r="723" spans="2:16" ht="13" hidden="1" outlineLevel="1" x14ac:dyDescent="0.3">
      <c r="B723" s="14"/>
      <c r="C723" s="13" t="s">
        <v>331</v>
      </c>
      <c r="D723" s="12" t="s">
        <v>41</v>
      </c>
      <c r="E723" s="12" t="s">
        <v>56</v>
      </c>
      <c r="F723" s="69">
        <v>887.14197583333339</v>
      </c>
      <c r="G723" s="14"/>
      <c r="H723" s="67">
        <f t="shared" ref="H723:P723" si="235">+H544/H$697</f>
        <v>0</v>
      </c>
      <c r="I723" s="67">
        <f t="shared" si="235"/>
        <v>0</v>
      </c>
      <c r="J723" s="67">
        <f t="shared" si="235"/>
        <v>2.3114466630802681</v>
      </c>
      <c r="K723" s="67">
        <f t="shared" si="235"/>
        <v>1.9615722361284409</v>
      </c>
      <c r="L723" s="67">
        <f t="shared" si="235"/>
        <v>1.6547392323920753</v>
      </c>
      <c r="M723" s="67">
        <f t="shared" si="235"/>
        <v>1.2969513698588857</v>
      </c>
      <c r="N723" s="67">
        <f t="shared" si="235"/>
        <v>0.90766970585687068</v>
      </c>
      <c r="O723" s="67">
        <f t="shared" si="235"/>
        <v>0.53354773959547319</v>
      </c>
      <c r="P723" s="67">
        <f t="shared" si="235"/>
        <v>0.15688360630865356</v>
      </c>
    </row>
    <row r="724" spans="2:16" ht="13" hidden="1" outlineLevel="1" x14ac:dyDescent="0.3">
      <c r="B724" s="14"/>
      <c r="C724" s="13" t="s">
        <v>332</v>
      </c>
      <c r="D724" s="12" t="s">
        <v>41</v>
      </c>
      <c r="E724" s="12" t="s">
        <v>56</v>
      </c>
      <c r="F724" s="69">
        <v>1.6405866666666671</v>
      </c>
      <c r="G724" s="14"/>
      <c r="H724" s="67">
        <f t="shared" ref="H724:P724" si="236">+H545/H$697</f>
        <v>0</v>
      </c>
      <c r="I724" s="67">
        <f t="shared" si="236"/>
        <v>8.642350051260279E-3</v>
      </c>
      <c r="J724" s="67">
        <f t="shared" si="236"/>
        <v>5.3107987241681892E-3</v>
      </c>
      <c r="K724" s="67">
        <f t="shared" si="236"/>
        <v>1.9669896705850399E-3</v>
      </c>
      <c r="L724" s="67">
        <f t="shared" si="236"/>
        <v>0</v>
      </c>
      <c r="M724" s="67">
        <f t="shared" si="236"/>
        <v>0</v>
      </c>
      <c r="N724" s="67">
        <f t="shared" si="236"/>
        <v>0</v>
      </c>
      <c r="O724" s="67">
        <f t="shared" si="236"/>
        <v>0</v>
      </c>
      <c r="P724" s="67">
        <f t="shared" si="236"/>
        <v>0</v>
      </c>
    </row>
    <row r="725" spans="2:16" ht="13" hidden="1" outlineLevel="1" x14ac:dyDescent="0.3">
      <c r="B725" s="14"/>
      <c r="C725" s="13" t="s">
        <v>333</v>
      </c>
      <c r="D725" s="12" t="s">
        <v>41</v>
      </c>
      <c r="E725" s="12" t="s">
        <v>56</v>
      </c>
      <c r="F725" s="69">
        <v>123.41220722222221</v>
      </c>
      <c r="G725" s="14"/>
      <c r="H725" s="67">
        <f t="shared" ref="H725:P725" si="237">+H546/H$697</f>
        <v>0</v>
      </c>
      <c r="I725" s="67">
        <f t="shared" si="237"/>
        <v>0.68662251739820124</v>
      </c>
      <c r="J725" s="67">
        <f t="shared" si="237"/>
        <v>0.42193546520969272</v>
      </c>
      <c r="K725" s="67">
        <f t="shared" si="237"/>
        <v>0</v>
      </c>
      <c r="L725" s="67">
        <f t="shared" si="237"/>
        <v>0</v>
      </c>
      <c r="M725" s="67">
        <f t="shared" si="237"/>
        <v>0</v>
      </c>
      <c r="N725" s="67">
        <f t="shared" si="237"/>
        <v>0</v>
      </c>
      <c r="O725" s="67">
        <f t="shared" si="237"/>
        <v>0</v>
      </c>
      <c r="P725" s="67">
        <f t="shared" si="237"/>
        <v>0</v>
      </c>
    </row>
    <row r="726" spans="2:16" ht="13" hidden="1" outlineLevel="1" x14ac:dyDescent="0.3">
      <c r="B726" s="14"/>
      <c r="C726" s="13" t="s">
        <v>334</v>
      </c>
      <c r="D726" s="12" t="s">
        <v>41</v>
      </c>
      <c r="E726" s="12" t="s">
        <v>56</v>
      </c>
      <c r="F726" s="69">
        <v>11.963833333333337</v>
      </c>
      <c r="G726" s="14"/>
      <c r="H726" s="67">
        <f t="shared" ref="H726:P726" si="238">+H547/H$697</f>
        <v>0</v>
      </c>
      <c r="I726" s="67">
        <f t="shared" si="238"/>
        <v>2.951033721753156E-2</v>
      </c>
      <c r="J726" s="67">
        <f t="shared" si="238"/>
        <v>2.5257737300471147E-2</v>
      </c>
      <c r="K726" s="67">
        <f t="shared" si="238"/>
        <v>2.1038859504991115E-2</v>
      </c>
      <c r="L726" s="67">
        <f t="shared" si="238"/>
        <v>1.7262940611028205E-2</v>
      </c>
      <c r="M726" s="67">
        <f t="shared" si="238"/>
        <v>1.2927721962797876E-2</v>
      </c>
      <c r="N726" s="67">
        <f t="shared" si="238"/>
        <v>8.276672564892229E-3</v>
      </c>
      <c r="O726" s="67">
        <f t="shared" si="238"/>
        <v>3.7724857986465971E-3</v>
      </c>
      <c r="P726" s="67">
        <f t="shared" si="238"/>
        <v>4.5078198204963429E-18</v>
      </c>
    </row>
    <row r="727" spans="2:16" ht="13" hidden="1" outlineLevel="1" x14ac:dyDescent="0.3">
      <c r="B727" s="14"/>
      <c r="C727" s="13" t="s">
        <v>335</v>
      </c>
      <c r="D727" s="12" t="s">
        <v>41</v>
      </c>
      <c r="E727" s="12" t="s">
        <v>56</v>
      </c>
      <c r="F727" s="69">
        <v>1834.0001666666672</v>
      </c>
      <c r="G727" s="14"/>
      <c r="H727" s="67">
        <f t="shared" ref="H727:P727" si="239">+H548/H$697</f>
        <v>0</v>
      </c>
      <c r="I727" s="67">
        <f t="shared" si="239"/>
        <v>0</v>
      </c>
      <c r="J727" s="67">
        <f t="shared" si="239"/>
        <v>4.8343362143363517</v>
      </c>
      <c r="K727" s="67">
        <f t="shared" si="239"/>
        <v>4.0926163105420539</v>
      </c>
      <c r="L727" s="67">
        <f t="shared" si="239"/>
        <v>3.4402273584372822</v>
      </c>
      <c r="M727" s="67">
        <f t="shared" si="239"/>
        <v>2.6812044670137731</v>
      </c>
      <c r="N727" s="67">
        <f t="shared" si="239"/>
        <v>1.8570259889465102</v>
      </c>
      <c r="O727" s="67">
        <f t="shared" si="239"/>
        <v>1.0640804229616894</v>
      </c>
      <c r="P727" s="67">
        <f t="shared" si="239"/>
        <v>0.2659485693646656</v>
      </c>
    </row>
    <row r="728" spans="2:16" ht="13" hidden="1" outlineLevel="1" x14ac:dyDescent="0.3">
      <c r="B728" s="14"/>
      <c r="C728" s="13" t="s">
        <v>336</v>
      </c>
      <c r="D728" s="12" t="s">
        <v>41</v>
      </c>
      <c r="E728" s="12" t="s">
        <v>56</v>
      </c>
      <c r="F728" s="69">
        <v>692.16473571428583</v>
      </c>
      <c r="G728" s="14"/>
      <c r="H728" s="67">
        <f t="shared" ref="H728:P728" si="240">+H549/H$697</f>
        <v>0</v>
      </c>
      <c r="I728" s="67">
        <f t="shared" si="240"/>
        <v>0</v>
      </c>
      <c r="J728" s="67">
        <f t="shared" si="240"/>
        <v>0</v>
      </c>
      <c r="K728" s="67">
        <f t="shared" si="240"/>
        <v>1.7428567248291278</v>
      </c>
      <c r="L728" s="67">
        <f t="shared" si="240"/>
        <v>1.5146201053353987</v>
      </c>
      <c r="M728" s="67">
        <f t="shared" si="240"/>
        <v>1.4103669213048153</v>
      </c>
      <c r="N728" s="67">
        <f t="shared" si="240"/>
        <v>1.0789213769341695</v>
      </c>
      <c r="O728" s="67">
        <f t="shared" si="240"/>
        <v>0.76446732597951617</v>
      </c>
      <c r="P728" s="67">
        <f t="shared" si="240"/>
        <v>0.44692141859595969</v>
      </c>
    </row>
    <row r="729" spans="2:16" ht="13" hidden="1" outlineLevel="1" x14ac:dyDescent="0.3">
      <c r="B729" s="14"/>
      <c r="C729" s="13" t="s">
        <v>337</v>
      </c>
      <c r="D729" s="12" t="s">
        <v>41</v>
      </c>
      <c r="E729" s="12" t="s">
        <v>56</v>
      </c>
      <c r="F729" s="69">
        <v>503.03007000000019</v>
      </c>
      <c r="G729" s="14"/>
      <c r="H729" s="67">
        <f t="shared" ref="H729:P729" si="241">+H550/H$697</f>
        <v>0</v>
      </c>
      <c r="I729" s="67">
        <f t="shared" si="241"/>
        <v>0</v>
      </c>
      <c r="J729" s="67">
        <f t="shared" si="241"/>
        <v>0</v>
      </c>
      <c r="K729" s="67">
        <f t="shared" si="241"/>
        <v>1.4031549087294097</v>
      </c>
      <c r="L729" s="67">
        <f t="shared" si="241"/>
        <v>1.2097262895074543</v>
      </c>
      <c r="M729" s="67">
        <f t="shared" si="241"/>
        <v>0.98053533126814563</v>
      </c>
      <c r="N729" s="67">
        <f t="shared" si="241"/>
        <v>0.7276365698088868</v>
      </c>
      <c r="O729" s="67">
        <f t="shared" si="241"/>
        <v>0.48642711832545993</v>
      </c>
      <c r="P729" s="67">
        <f t="shared" si="241"/>
        <v>0.24314815577335433</v>
      </c>
    </row>
    <row r="730" spans="2:16" ht="13" hidden="1" outlineLevel="1" x14ac:dyDescent="0.3">
      <c r="B730" s="14"/>
      <c r="C730" s="13" t="s">
        <v>338</v>
      </c>
      <c r="D730" s="12" t="s">
        <v>41</v>
      </c>
      <c r="E730" s="12" t="s">
        <v>56</v>
      </c>
      <c r="F730" s="69">
        <v>63.969950476190462</v>
      </c>
      <c r="G730" s="14"/>
      <c r="H730" s="67">
        <f t="shared" ref="H730:P730" si="242">+H551/H$697</f>
        <v>0</v>
      </c>
      <c r="I730" s="67">
        <f t="shared" si="242"/>
        <v>0</v>
      </c>
      <c r="J730" s="67">
        <f t="shared" si="242"/>
        <v>0</v>
      </c>
      <c r="K730" s="67">
        <f t="shared" si="242"/>
        <v>0</v>
      </c>
      <c r="L730" s="67">
        <f t="shared" si="242"/>
        <v>0</v>
      </c>
      <c r="M730" s="67">
        <f t="shared" si="242"/>
        <v>0.20969037919762301</v>
      </c>
      <c r="N730" s="67">
        <f t="shared" si="242"/>
        <v>0.17711392197994927</v>
      </c>
      <c r="O730" s="67">
        <f t="shared" si="242"/>
        <v>0.14715572872710714</v>
      </c>
      <c r="P730" s="67">
        <f t="shared" si="242"/>
        <v>0.11667833107846184</v>
      </c>
    </row>
    <row r="731" spans="2:16" ht="13" hidden="1" outlineLevel="1" x14ac:dyDescent="0.3">
      <c r="B731" s="14"/>
      <c r="C731" s="13" t="s">
        <v>339</v>
      </c>
      <c r="D731" s="12" t="s">
        <v>41</v>
      </c>
      <c r="E731" s="12" t="s">
        <v>56</v>
      </c>
      <c r="F731" s="69">
        <v>42.390480000000011</v>
      </c>
      <c r="G731" s="14"/>
      <c r="H731" s="67">
        <f t="shared" ref="H731:P731" si="243">+H552/H$697</f>
        <v>0</v>
      </c>
      <c r="I731" s="67">
        <f t="shared" si="243"/>
        <v>0</v>
      </c>
      <c r="J731" s="67">
        <f t="shared" si="243"/>
        <v>0</v>
      </c>
      <c r="K731" s="67">
        <f t="shared" si="243"/>
        <v>0</v>
      </c>
      <c r="L731" s="67">
        <f t="shared" si="243"/>
        <v>0</v>
      </c>
      <c r="M731" s="67">
        <f t="shared" si="243"/>
        <v>0.19718517350123316</v>
      </c>
      <c r="N731" s="67">
        <f t="shared" si="243"/>
        <v>0.13657219967060258</v>
      </c>
      <c r="O731" s="67">
        <f t="shared" si="243"/>
        <v>7.8256203658595619E-2</v>
      </c>
      <c r="P731" s="67">
        <f t="shared" si="243"/>
        <v>1.9558789878857397E-2</v>
      </c>
    </row>
    <row r="732" spans="2:16" ht="13" hidden="1" outlineLevel="1" x14ac:dyDescent="0.3">
      <c r="B732" s="14"/>
      <c r="C732" s="13" t="s">
        <v>340</v>
      </c>
      <c r="D732" s="12" t="s">
        <v>41</v>
      </c>
      <c r="E732" s="12" t="s">
        <v>56</v>
      </c>
      <c r="F732" s="69">
        <v>208.60078749999997</v>
      </c>
      <c r="G732" s="14"/>
      <c r="H732" s="67">
        <f t="shared" ref="H732:P732" si="244">+H553/H$697</f>
        <v>0</v>
      </c>
      <c r="I732" s="67">
        <f t="shared" si="244"/>
        <v>0</v>
      </c>
      <c r="J732" s="67">
        <f t="shared" si="244"/>
        <v>0</v>
      </c>
      <c r="K732" s="67">
        <f t="shared" si="244"/>
        <v>0</v>
      </c>
      <c r="L732" s="67">
        <f t="shared" si="244"/>
        <v>0</v>
      </c>
      <c r="M732" s="67">
        <f t="shared" si="244"/>
        <v>0.92010291144299472</v>
      </c>
      <c r="N732" s="67">
        <f t="shared" si="244"/>
        <v>0.6554955294453424</v>
      </c>
      <c r="O732" s="67">
        <f t="shared" si="244"/>
        <v>0.40170666385365705</v>
      </c>
      <c r="P732" s="67">
        <f t="shared" si="244"/>
        <v>0.14607309491504808</v>
      </c>
    </row>
    <row r="733" spans="2:16" ht="13" hidden="1" outlineLevel="1" x14ac:dyDescent="0.3">
      <c r="B733" s="14"/>
      <c r="C733" s="13" t="s">
        <v>341</v>
      </c>
      <c r="D733" s="12" t="s">
        <v>41</v>
      </c>
      <c r="E733" s="12" t="s">
        <v>56</v>
      </c>
      <c r="F733" s="69">
        <v>65.650723809523811</v>
      </c>
      <c r="G733" s="14"/>
      <c r="H733" s="67">
        <f t="shared" ref="H733:P733" si="245">+H554/H$697</f>
        <v>0</v>
      </c>
      <c r="I733" s="67">
        <f t="shared" si="245"/>
        <v>0</v>
      </c>
      <c r="J733" s="67">
        <f t="shared" si="245"/>
        <v>0</v>
      </c>
      <c r="K733" s="67">
        <f t="shared" si="245"/>
        <v>0</v>
      </c>
      <c r="L733" s="67">
        <f t="shared" si="245"/>
        <v>0</v>
      </c>
      <c r="M733" s="67">
        <f t="shared" si="245"/>
        <v>0.22292988983256662</v>
      </c>
      <c r="N733" s="67">
        <f t="shared" si="245"/>
        <v>0.18431695357699787</v>
      </c>
      <c r="O733" s="67">
        <f t="shared" si="245"/>
        <v>0.14846567214256776</v>
      </c>
      <c r="P733" s="67">
        <f t="shared" si="245"/>
        <v>0.11207658502158713</v>
      </c>
    </row>
    <row r="734" spans="2:16" ht="13" hidden="1" outlineLevel="1" x14ac:dyDescent="0.3">
      <c r="B734" s="14"/>
      <c r="C734" s="13" t="s">
        <v>342</v>
      </c>
      <c r="D734" s="12" t="s">
        <v>41</v>
      </c>
      <c r="E734" s="12" t="s">
        <v>56</v>
      </c>
      <c r="F734" s="69">
        <v>114.97903928571429</v>
      </c>
      <c r="G734" s="14"/>
      <c r="H734" s="67">
        <f t="shared" ref="H734:P734" si="246">+H555/H$697</f>
        <v>0</v>
      </c>
      <c r="I734" s="67">
        <f t="shared" si="246"/>
        <v>0</v>
      </c>
      <c r="J734" s="67">
        <f t="shared" si="246"/>
        <v>0</v>
      </c>
      <c r="K734" s="67">
        <f t="shared" si="246"/>
        <v>0</v>
      </c>
      <c r="L734" s="67">
        <f t="shared" si="246"/>
        <v>0</v>
      </c>
      <c r="M734" s="67">
        <f t="shared" si="246"/>
        <v>0</v>
      </c>
      <c r="N734" s="67">
        <f t="shared" si="246"/>
        <v>0.46040842068594884</v>
      </c>
      <c r="O734" s="67">
        <f t="shared" si="246"/>
        <v>0.38914419095568054</v>
      </c>
      <c r="P734" s="67">
        <f t="shared" si="246"/>
        <v>0.31652673087811795</v>
      </c>
    </row>
    <row r="735" spans="2:16" ht="13" hidden="1" outlineLevel="1" x14ac:dyDescent="0.3">
      <c r="B735" s="14"/>
      <c r="C735" s="13" t="s">
        <v>343</v>
      </c>
      <c r="D735" s="12" t="s">
        <v>41</v>
      </c>
      <c r="E735" s="12" t="s">
        <v>56</v>
      </c>
      <c r="F735" s="69">
        <v>56.347243333333338</v>
      </c>
      <c r="G735" s="14"/>
      <c r="H735" s="67">
        <f t="shared" ref="H735:P735" si="247">+H556/H$697</f>
        <v>0</v>
      </c>
      <c r="I735" s="67">
        <f t="shared" si="247"/>
        <v>0</v>
      </c>
      <c r="J735" s="67">
        <f t="shared" si="247"/>
        <v>0</v>
      </c>
      <c r="K735" s="67">
        <f t="shared" si="247"/>
        <v>0</v>
      </c>
      <c r="L735" s="67">
        <f t="shared" si="247"/>
        <v>0</v>
      </c>
      <c r="M735" s="67">
        <f t="shared" si="247"/>
        <v>0</v>
      </c>
      <c r="N735" s="67">
        <f t="shared" si="247"/>
        <v>0</v>
      </c>
      <c r="O735" s="67">
        <f t="shared" si="247"/>
        <v>0</v>
      </c>
      <c r="P735" s="67">
        <f t="shared" si="247"/>
        <v>0.57196440421078754</v>
      </c>
    </row>
    <row r="736" spans="2:16" ht="13" hidden="1" outlineLevel="1" x14ac:dyDescent="0.3">
      <c r="B736" s="14"/>
      <c r="C736" s="13" t="s">
        <v>61</v>
      </c>
      <c r="D736" s="12" t="s">
        <v>41</v>
      </c>
      <c r="E736" s="12" t="s">
        <v>56</v>
      </c>
      <c r="F736" s="69">
        <v>2860.0850556741525</v>
      </c>
      <c r="G736" s="14"/>
      <c r="H736" s="67">
        <f t="shared" ref="H736:P736" si="248">+H557/H$697</f>
        <v>4.2769196300095276</v>
      </c>
      <c r="I736" s="67">
        <f t="shared" si="248"/>
        <v>4.8899364872548094</v>
      </c>
      <c r="J736" s="67">
        <f t="shared" si="248"/>
        <v>4.6484863701736154</v>
      </c>
      <c r="K736" s="67">
        <f t="shared" si="248"/>
        <v>3.7638158831540953</v>
      </c>
      <c r="L736" s="67">
        <f t="shared" si="248"/>
        <v>2.9665696667466666</v>
      </c>
      <c r="M736" s="67">
        <f t="shared" si="248"/>
        <v>2.3631021651654454</v>
      </c>
      <c r="N736" s="67">
        <f t="shared" si="248"/>
        <v>0</v>
      </c>
      <c r="O736" s="67">
        <f t="shared" si="248"/>
        <v>0</v>
      </c>
      <c r="P736" s="67">
        <f t="shared" si="248"/>
        <v>0</v>
      </c>
    </row>
    <row r="737" spans="2:16" ht="13" hidden="1" outlineLevel="1" x14ac:dyDescent="0.3">
      <c r="B737" s="14"/>
      <c r="C737" s="13" t="s">
        <v>62</v>
      </c>
      <c r="D737" s="12" t="s">
        <v>41</v>
      </c>
      <c r="E737" s="12" t="s">
        <v>56</v>
      </c>
      <c r="F737" s="69">
        <v>4168.8563850132023</v>
      </c>
      <c r="G737" s="14"/>
      <c r="H737" s="67">
        <f t="shared" ref="H737:P737" si="249">+H558/H$697</f>
        <v>9.807405687972313</v>
      </c>
      <c r="I737" s="67">
        <f t="shared" si="249"/>
        <v>11.892714580461938</v>
      </c>
      <c r="J737" s="67">
        <f t="shared" si="249"/>
        <v>9.275463040100691</v>
      </c>
      <c r="K737" s="67">
        <f t="shared" si="249"/>
        <v>4.8626832953654588</v>
      </c>
      <c r="L737" s="67">
        <f t="shared" si="249"/>
        <v>3.6320896700126979</v>
      </c>
      <c r="M737" s="67">
        <f t="shared" si="249"/>
        <v>1.1651298190225359</v>
      </c>
      <c r="N737" s="67">
        <f t="shared" si="249"/>
        <v>0.34081027596634123</v>
      </c>
      <c r="O737" s="67">
        <f t="shared" si="249"/>
        <v>0</v>
      </c>
      <c r="P737" s="67">
        <f t="shared" si="249"/>
        <v>0</v>
      </c>
    </row>
    <row r="738" spans="2:16" ht="13" hidden="1" outlineLevel="1" x14ac:dyDescent="0.3">
      <c r="B738" s="14"/>
      <c r="C738" s="13" t="s">
        <v>348</v>
      </c>
      <c r="D738" s="12" t="s">
        <v>41</v>
      </c>
      <c r="E738" s="12" t="s">
        <v>56</v>
      </c>
      <c r="F738" s="69">
        <v>148.16797386722163</v>
      </c>
      <c r="G738" s="14"/>
      <c r="H738" s="67">
        <f t="shared" ref="H738:P738" si="250">+H559/H$697</f>
        <v>0.37379832567998256</v>
      </c>
      <c r="I738" s="67">
        <f t="shared" si="250"/>
        <v>0.31628646617238587</v>
      </c>
      <c r="J738" s="67">
        <f t="shared" si="250"/>
        <v>0.26121302638216465</v>
      </c>
      <c r="K738" s="67">
        <f t="shared" si="250"/>
        <v>0.20640026069952361</v>
      </c>
      <c r="L738" s="67">
        <f t="shared" si="250"/>
        <v>0.15659312145397489</v>
      </c>
      <c r="M738" s="67">
        <f t="shared" si="250"/>
        <v>0.10266165459916654</v>
      </c>
      <c r="N738" s="67">
        <f t="shared" si="250"/>
        <v>4.6173720994370566E-2</v>
      </c>
      <c r="O738" s="67">
        <f t="shared" si="250"/>
        <v>1.5801190431703091E-8</v>
      </c>
      <c r="P738" s="67">
        <f t="shared" si="250"/>
        <v>1.5796941279583596E-8</v>
      </c>
    </row>
    <row r="739" spans="2:16" ht="13" hidden="1" outlineLevel="1" x14ac:dyDescent="0.3">
      <c r="B739" s="14"/>
      <c r="C739" s="13" t="s">
        <v>349</v>
      </c>
      <c r="D739" s="12" t="s">
        <v>41</v>
      </c>
      <c r="E739" s="12" t="s">
        <v>56</v>
      </c>
      <c r="F739" s="69">
        <v>2641.9839352530353</v>
      </c>
      <c r="G739" s="14"/>
      <c r="H739" s="67">
        <f t="shared" ref="H739:P739" si="251">+H560/H$697</f>
        <v>0.18612989701605268</v>
      </c>
      <c r="I739" s="67">
        <f t="shared" si="251"/>
        <v>0.14456545012714694</v>
      </c>
      <c r="J739" s="67">
        <f t="shared" si="251"/>
        <v>6.46522948518626</v>
      </c>
      <c r="K739" s="67">
        <f t="shared" si="251"/>
        <v>5.5336461196592097</v>
      </c>
      <c r="L739" s="67">
        <f t="shared" si="251"/>
        <v>4.7257041935415041</v>
      </c>
      <c r="M739" s="67">
        <f t="shared" si="251"/>
        <v>3.7820707433945171</v>
      </c>
      <c r="N739" s="67">
        <f t="shared" si="251"/>
        <v>2.7797773508375321</v>
      </c>
      <c r="O739" s="67">
        <f t="shared" si="251"/>
        <v>1.8224235992153406</v>
      </c>
      <c r="P739" s="67">
        <f t="shared" si="251"/>
        <v>0.85718301981243006</v>
      </c>
    </row>
    <row r="740" spans="2:16" ht="13" hidden="1" outlineLevel="1" x14ac:dyDescent="0.3">
      <c r="B740" s="14"/>
      <c r="C740" s="13" t="s">
        <v>350</v>
      </c>
      <c r="D740" s="12" t="s">
        <v>41</v>
      </c>
      <c r="E740" s="12" t="s">
        <v>56</v>
      </c>
      <c r="F740" s="69">
        <v>1210.757870463309</v>
      </c>
      <c r="G740" s="14"/>
      <c r="H740" s="67">
        <f t="shared" ref="H740:P740" si="252">+H561/H$697</f>
        <v>0.22489212718772836</v>
      </c>
      <c r="I740" s="67">
        <f t="shared" si="252"/>
        <v>1.4885337762526474</v>
      </c>
      <c r="J740" s="67">
        <f t="shared" si="252"/>
        <v>1.2430544087427835</v>
      </c>
      <c r="K740" s="67">
        <f t="shared" si="252"/>
        <v>2.6923195282216081</v>
      </c>
      <c r="L740" s="67">
        <f t="shared" si="252"/>
        <v>2.2938275582449901</v>
      </c>
      <c r="M740" s="67">
        <f t="shared" si="252"/>
        <v>1.7914734162078645</v>
      </c>
      <c r="N740" s="67">
        <f t="shared" si="252"/>
        <v>1.2455968165550384</v>
      </c>
      <c r="O740" s="67">
        <f t="shared" si="252"/>
        <v>0.72340746956700586</v>
      </c>
      <c r="P740" s="67">
        <f t="shared" si="252"/>
        <v>0.34917980455946934</v>
      </c>
    </row>
    <row r="741" spans="2:16" ht="13" hidden="1" outlineLevel="1" x14ac:dyDescent="0.3">
      <c r="B741" s="14"/>
      <c r="C741" s="13" t="s">
        <v>351</v>
      </c>
      <c r="D741" s="12" t="s">
        <v>41</v>
      </c>
      <c r="E741" s="12" t="s">
        <v>56</v>
      </c>
      <c r="F741" s="69">
        <v>1607.1665745760681</v>
      </c>
      <c r="G741" s="14"/>
      <c r="H741" s="67">
        <f t="shared" ref="H741:P741" si="253">+H562/H$697</f>
        <v>9.8327415016731229E-2</v>
      </c>
      <c r="I741" s="67">
        <f t="shared" si="253"/>
        <v>0.80059155762152501</v>
      </c>
      <c r="J741" s="67">
        <f t="shared" si="253"/>
        <v>2.8065530431600831</v>
      </c>
      <c r="K741" s="67">
        <f t="shared" si="253"/>
        <v>2.501935082426102</v>
      </c>
      <c r="L741" s="67">
        <f t="shared" si="253"/>
        <v>2.7424170656305509</v>
      </c>
      <c r="M741" s="67">
        <f t="shared" si="253"/>
        <v>2.3680032438117684</v>
      </c>
      <c r="N741" s="67">
        <f t="shared" si="253"/>
        <v>1.9368555178073517</v>
      </c>
      <c r="O741" s="67">
        <f t="shared" si="253"/>
        <v>1.57175983838055</v>
      </c>
      <c r="P741" s="67">
        <f t="shared" si="253"/>
        <v>1.2223678215280054</v>
      </c>
    </row>
    <row r="742" spans="2:16" ht="13" hidden="1" outlineLevel="1" x14ac:dyDescent="0.3">
      <c r="B742" s="14"/>
      <c r="C742" s="13" t="s">
        <v>352</v>
      </c>
      <c r="D742" s="12" t="s">
        <v>41</v>
      </c>
      <c r="E742" s="12" t="s">
        <v>56</v>
      </c>
      <c r="F742" s="69">
        <v>1793.9597681309519</v>
      </c>
      <c r="G742" s="14"/>
      <c r="H742" s="67">
        <f t="shared" ref="H742:P742" si="254">+H563/H$697</f>
        <v>0</v>
      </c>
      <c r="I742" s="67">
        <f t="shared" si="254"/>
        <v>0</v>
      </c>
      <c r="J742" s="67">
        <f t="shared" si="254"/>
        <v>2.865302494414903</v>
      </c>
      <c r="K742" s="67">
        <f t="shared" si="254"/>
        <v>2.910013473468386</v>
      </c>
      <c r="L742" s="67">
        <f t="shared" si="254"/>
        <v>2.420045343251108</v>
      </c>
      <c r="M742" s="67">
        <f t="shared" si="254"/>
        <v>3.6467811660904803</v>
      </c>
      <c r="N742" s="67">
        <f t="shared" si="254"/>
        <v>0</v>
      </c>
      <c r="O742" s="67">
        <f t="shared" si="254"/>
        <v>0</v>
      </c>
      <c r="P742" s="67">
        <f t="shared" si="254"/>
        <v>0</v>
      </c>
    </row>
    <row r="743" spans="2:16" ht="13" collapsed="1" x14ac:dyDescent="0.3">
      <c r="B743" s="14"/>
      <c r="C743" s="13"/>
      <c r="D743" s="13"/>
      <c r="E743" s="12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2:16" ht="13" x14ac:dyDescent="0.3">
      <c r="B744" s="14" t="s">
        <v>353</v>
      </c>
      <c r="C744" s="13"/>
      <c r="D744" s="13"/>
      <c r="E744" s="12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2:16" ht="13" hidden="1" outlineLevel="1" x14ac:dyDescent="0.3">
      <c r="B745" s="14"/>
      <c r="C745" s="13" t="s">
        <v>354</v>
      </c>
      <c r="D745" s="12" t="s">
        <v>41</v>
      </c>
      <c r="E745" s="12" t="s">
        <v>56</v>
      </c>
      <c r="F745" s="69">
        <v>310445.26746604516</v>
      </c>
      <c r="G745" s="14"/>
      <c r="H745" s="67">
        <f t="shared" ref="H745:P745" si="255">+H566/H$696</f>
        <v>0</v>
      </c>
      <c r="I745" s="67">
        <f t="shared" si="255"/>
        <v>0</v>
      </c>
      <c r="J745" s="67">
        <f t="shared" si="255"/>
        <v>0</v>
      </c>
      <c r="K745" s="67">
        <f t="shared" si="255"/>
        <v>0</v>
      </c>
      <c r="L745" s="67">
        <f t="shared" si="255"/>
        <v>743.0783489559584</v>
      </c>
      <c r="M745" s="67">
        <f t="shared" si="255"/>
        <v>734.51007985807894</v>
      </c>
      <c r="N745" s="67">
        <f t="shared" si="255"/>
        <v>667.91779529507244</v>
      </c>
      <c r="O745" s="67">
        <f t="shared" si="255"/>
        <v>621.40101456984246</v>
      </c>
      <c r="P745" s="67">
        <f t="shared" si="255"/>
        <v>599.96396827581566</v>
      </c>
    </row>
    <row r="746" spans="2:16" ht="13" hidden="1" outlineLevel="1" x14ac:dyDescent="0.3">
      <c r="B746" s="14"/>
      <c r="C746" s="13" t="s">
        <v>355</v>
      </c>
      <c r="D746" s="12" t="s">
        <v>41</v>
      </c>
      <c r="E746" s="12" t="s">
        <v>56</v>
      </c>
      <c r="F746" s="69">
        <v>211449.8094224167</v>
      </c>
      <c r="G746" s="14"/>
      <c r="H746" s="67">
        <f t="shared" ref="H746:P746" si="256">+H567/H$696</f>
        <v>0</v>
      </c>
      <c r="I746" s="67">
        <f t="shared" si="256"/>
        <v>0</v>
      </c>
      <c r="J746" s="67">
        <f t="shared" si="256"/>
        <v>0</v>
      </c>
      <c r="K746" s="67">
        <f t="shared" si="256"/>
        <v>0</v>
      </c>
      <c r="L746" s="67">
        <f t="shared" si="256"/>
        <v>0</v>
      </c>
      <c r="M746" s="67">
        <f t="shared" si="256"/>
        <v>639.58112710062426</v>
      </c>
      <c r="N746" s="67">
        <f t="shared" si="256"/>
        <v>581.06924798321643</v>
      </c>
      <c r="O746" s="67">
        <f t="shared" si="256"/>
        <v>540.06891046428711</v>
      </c>
      <c r="P746" s="67">
        <f t="shared" si="256"/>
        <v>520.87711845622914</v>
      </c>
    </row>
    <row r="747" spans="2:16" ht="13" hidden="1" outlineLevel="1" x14ac:dyDescent="0.3">
      <c r="B747" s="14"/>
      <c r="C747" s="13" t="s">
        <v>356</v>
      </c>
      <c r="D747" s="12" t="s">
        <v>41</v>
      </c>
      <c r="E747" s="12" t="s">
        <v>56</v>
      </c>
      <c r="F747" s="69">
        <v>23015.417392937779</v>
      </c>
      <c r="G747" s="14"/>
      <c r="H747" s="67">
        <f t="shared" ref="H747:P747" si="257">+H568/H$696</f>
        <v>0</v>
      </c>
      <c r="I747" s="67">
        <f t="shared" si="257"/>
        <v>0</v>
      </c>
      <c r="J747" s="67">
        <f t="shared" si="257"/>
        <v>0</v>
      </c>
      <c r="K747" s="67">
        <f t="shared" si="257"/>
        <v>0</v>
      </c>
      <c r="L747" s="67">
        <f t="shared" si="257"/>
        <v>55.184294089696351</v>
      </c>
      <c r="M747" s="67">
        <f t="shared" si="257"/>
        <v>54.502979054196892</v>
      </c>
      <c r="N747" s="67">
        <f t="shared" si="257"/>
        <v>49.517285183186814</v>
      </c>
      <c r="O747" s="67">
        <f t="shared" si="257"/>
        <v>46.023837957009491</v>
      </c>
      <c r="P747" s="67">
        <f t="shared" si="257"/>
        <v>44.388870574910975</v>
      </c>
    </row>
    <row r="748" spans="2:16" ht="13" hidden="1" outlineLevel="1" x14ac:dyDescent="0.3">
      <c r="B748" s="14"/>
      <c r="C748" s="13" t="s">
        <v>357</v>
      </c>
      <c r="D748" s="12" t="s">
        <v>41</v>
      </c>
      <c r="E748" s="12" t="s">
        <v>56</v>
      </c>
      <c r="F748" s="69">
        <v>42485.7187892898</v>
      </c>
      <c r="G748" s="14"/>
      <c r="H748" s="67">
        <f t="shared" ref="H748:P748" si="258">+H569/H$696</f>
        <v>0</v>
      </c>
      <c r="I748" s="67">
        <f t="shared" si="258"/>
        <v>0</v>
      </c>
      <c r="J748" s="67">
        <f t="shared" si="258"/>
        <v>0</v>
      </c>
      <c r="K748" s="67">
        <f t="shared" si="258"/>
        <v>0</v>
      </c>
      <c r="L748" s="67">
        <f t="shared" si="258"/>
        <v>0</v>
      </c>
      <c r="M748" s="67">
        <f t="shared" si="258"/>
        <v>128.50833955896394</v>
      </c>
      <c r="N748" s="67">
        <f t="shared" si="258"/>
        <v>116.751794358921</v>
      </c>
      <c r="O748" s="67">
        <f t="shared" si="258"/>
        <v>108.51376938810952</v>
      </c>
      <c r="P748" s="67">
        <f t="shared" si="258"/>
        <v>104.6576435275844</v>
      </c>
    </row>
    <row r="749" spans="2:16" ht="13" hidden="1" outlineLevel="1" x14ac:dyDescent="0.3">
      <c r="B749" s="14"/>
      <c r="C749" s="13" t="s">
        <v>358</v>
      </c>
      <c r="D749" s="12" t="s">
        <v>41</v>
      </c>
      <c r="E749" s="12" t="s">
        <v>56</v>
      </c>
      <c r="F749" s="69">
        <v>64479.730569340769</v>
      </c>
      <c r="G749" s="14"/>
      <c r="H749" s="67">
        <f t="shared" ref="H749:P749" si="259">+H570/H$696</f>
        <v>0</v>
      </c>
      <c r="I749" s="67">
        <f t="shared" si="259"/>
        <v>0</v>
      </c>
      <c r="J749" s="67">
        <f t="shared" si="259"/>
        <v>0</v>
      </c>
      <c r="K749" s="67">
        <f t="shared" si="259"/>
        <v>0</v>
      </c>
      <c r="L749" s="67">
        <f t="shared" si="259"/>
        <v>154.37938012187416</v>
      </c>
      <c r="M749" s="67">
        <f t="shared" si="259"/>
        <v>152.57961931108159</v>
      </c>
      <c r="N749" s="67">
        <f t="shared" si="259"/>
        <v>138.72706076218356</v>
      </c>
      <c r="O749" s="67">
        <f t="shared" si="259"/>
        <v>129.04590899313055</v>
      </c>
      <c r="P749" s="67">
        <f t="shared" si="259"/>
        <v>124.57346644149924</v>
      </c>
    </row>
    <row r="750" spans="2:16" ht="13" hidden="1" outlineLevel="1" x14ac:dyDescent="0.3">
      <c r="B750" s="14"/>
      <c r="C750" s="13" t="s">
        <v>359</v>
      </c>
      <c r="D750" s="12" t="s">
        <v>41</v>
      </c>
      <c r="E750" s="12" t="s">
        <v>56</v>
      </c>
      <c r="F750" s="69">
        <v>200.63916388913825</v>
      </c>
      <c r="G750" s="14"/>
      <c r="H750" s="67">
        <f t="shared" ref="H750:P750" si="260">+H571/H$696</f>
        <v>0</v>
      </c>
      <c r="I750" s="67">
        <f t="shared" si="260"/>
        <v>0</v>
      </c>
      <c r="J750" s="67">
        <f t="shared" si="260"/>
        <v>0</v>
      </c>
      <c r="K750" s="67">
        <f t="shared" si="260"/>
        <v>0</v>
      </c>
      <c r="L750" s="67">
        <f t="shared" si="260"/>
        <v>0</v>
      </c>
      <c r="M750" s="67">
        <f t="shared" si="260"/>
        <v>0.60688616992962918</v>
      </c>
      <c r="N750" s="67">
        <f t="shared" si="260"/>
        <v>0.55136273697426841</v>
      </c>
      <c r="O750" s="67">
        <f t="shared" si="260"/>
        <v>0.51245582115040222</v>
      </c>
      <c r="P750" s="67">
        <f t="shared" si="260"/>
        <v>0.49424246273296846</v>
      </c>
    </row>
    <row r="751" spans="2:16" ht="13" hidden="1" outlineLevel="1" x14ac:dyDescent="0.3">
      <c r="B751" s="14"/>
      <c r="C751" s="13" t="s">
        <v>360</v>
      </c>
      <c r="D751" s="12" t="s">
        <v>41</v>
      </c>
      <c r="E751" s="12" t="s">
        <v>56</v>
      </c>
      <c r="F751" s="69">
        <v>1872.3954150000006</v>
      </c>
      <c r="G751" s="14"/>
      <c r="H751" s="67">
        <f t="shared" ref="H751:P751" si="261">+H572/H$696</f>
        <v>0</v>
      </c>
      <c r="I751" s="67">
        <f t="shared" si="261"/>
        <v>0</v>
      </c>
      <c r="J751" s="67">
        <f t="shared" si="261"/>
        <v>0</v>
      </c>
      <c r="K751" s="67">
        <f t="shared" si="261"/>
        <v>0</v>
      </c>
      <c r="L751" s="67">
        <f t="shared" si="261"/>
        <v>11.48973932784399</v>
      </c>
      <c r="M751" s="67">
        <f t="shared" si="261"/>
        <v>7.0874930260798585</v>
      </c>
      <c r="N751" s="67">
        <f t="shared" si="261"/>
        <v>2.238015214789991</v>
      </c>
      <c r="O751" s="67">
        <f t="shared" si="261"/>
        <v>2.3747691868023309E-15</v>
      </c>
      <c r="P751" s="67">
        <f t="shared" si="261"/>
        <v>2.3973110799269776E-15</v>
      </c>
    </row>
    <row r="752" spans="2:16" ht="13" hidden="1" outlineLevel="1" x14ac:dyDescent="0.3">
      <c r="B752" s="14"/>
      <c r="C752" s="13" t="s">
        <v>361</v>
      </c>
      <c r="D752" s="12" t="s">
        <v>41</v>
      </c>
      <c r="E752" s="12" t="s">
        <v>56</v>
      </c>
      <c r="F752" s="69">
        <v>1116.4809250000001</v>
      </c>
      <c r="G752" s="14"/>
      <c r="H752" s="67">
        <f t="shared" ref="H752:P752" si="262">+H573/H$696</f>
        <v>0</v>
      </c>
      <c r="I752" s="67">
        <f t="shared" si="262"/>
        <v>0</v>
      </c>
      <c r="J752" s="67">
        <f t="shared" si="262"/>
        <v>0</v>
      </c>
      <c r="K752" s="67">
        <f t="shared" si="262"/>
        <v>0</v>
      </c>
      <c r="L752" s="67">
        <f t="shared" si="262"/>
        <v>2.7482926591176611</v>
      </c>
      <c r="M752" s="67">
        <f t="shared" si="262"/>
        <v>2.6805956794287025</v>
      </c>
      <c r="N752" s="67">
        <f t="shared" si="262"/>
        <v>2.4020900173540758</v>
      </c>
      <c r="O752" s="67">
        <f t="shared" si="262"/>
        <v>2.1989148988772258</v>
      </c>
      <c r="P752" s="67">
        <f t="shared" si="262"/>
        <v>2.0852549616817635</v>
      </c>
    </row>
    <row r="753" spans="2:16" ht="13" hidden="1" outlineLevel="1" x14ac:dyDescent="0.3">
      <c r="B753" s="14"/>
      <c r="C753" s="13" t="s">
        <v>362</v>
      </c>
      <c r="D753" s="12" t="s">
        <v>41</v>
      </c>
      <c r="E753" s="12" t="s">
        <v>56</v>
      </c>
      <c r="F753" s="69">
        <v>1058.8559142857146</v>
      </c>
      <c r="G753" s="14"/>
      <c r="H753" s="67">
        <f t="shared" ref="H753:P753" si="263">+H574/H$696</f>
        <v>0</v>
      </c>
      <c r="I753" s="67">
        <f t="shared" si="263"/>
        <v>0</v>
      </c>
      <c r="J753" s="67">
        <f t="shared" si="263"/>
        <v>0</v>
      </c>
      <c r="K753" s="67">
        <f t="shared" si="263"/>
        <v>0</v>
      </c>
      <c r="L753" s="67">
        <f t="shared" si="263"/>
        <v>3.3787247814117105</v>
      </c>
      <c r="M753" s="67">
        <f t="shared" si="263"/>
        <v>2.9392286240406666</v>
      </c>
      <c r="N753" s="67">
        <f t="shared" si="263"/>
        <v>2.2781107715942732</v>
      </c>
      <c r="O753" s="67">
        <f t="shared" si="263"/>
        <v>1.7202977292044594</v>
      </c>
      <c r="P753" s="67">
        <f t="shared" si="263"/>
        <v>1.240448013075635</v>
      </c>
    </row>
    <row r="754" spans="2:16" ht="13" hidden="1" outlineLevel="1" x14ac:dyDescent="0.3">
      <c r="B754" s="14"/>
      <c r="C754" s="13" t="s">
        <v>363</v>
      </c>
      <c r="D754" s="12" t="s">
        <v>41</v>
      </c>
      <c r="E754" s="12" t="s">
        <v>56</v>
      </c>
      <c r="F754" s="69">
        <v>204477.59804293484</v>
      </c>
      <c r="G754" s="14"/>
      <c r="H754" s="67">
        <f t="shared" ref="H754:P754" si="264">+H575/H$696</f>
        <v>0</v>
      </c>
      <c r="I754" s="67">
        <f t="shared" si="264"/>
        <v>0</v>
      </c>
      <c r="J754" s="67">
        <f t="shared" si="264"/>
        <v>0</v>
      </c>
      <c r="K754" s="67">
        <f t="shared" si="264"/>
        <v>0</v>
      </c>
      <c r="L754" s="67">
        <f t="shared" si="264"/>
        <v>0</v>
      </c>
      <c r="M754" s="67">
        <f t="shared" si="264"/>
        <v>618.52911167804234</v>
      </c>
      <c r="N754" s="67">
        <f t="shared" si="264"/>
        <v>561.92116366600783</v>
      </c>
      <c r="O754" s="67">
        <f t="shared" si="264"/>
        <v>522.24964018153594</v>
      </c>
      <c r="P754" s="67">
        <f t="shared" si="264"/>
        <v>503.66757816934552</v>
      </c>
    </row>
    <row r="755" spans="2:16" ht="13" hidden="1" outlineLevel="1" x14ac:dyDescent="0.3">
      <c r="B755" s="14"/>
      <c r="C755" s="13" t="s">
        <v>364</v>
      </c>
      <c r="D755" s="12" t="s">
        <v>41</v>
      </c>
      <c r="E755" s="12" t="s">
        <v>56</v>
      </c>
      <c r="F755" s="69">
        <v>8958.9197605241243</v>
      </c>
      <c r="G755" s="14"/>
      <c r="H755" s="67">
        <f t="shared" ref="H755:P755" si="265">+H576/H$696</f>
        <v>0</v>
      </c>
      <c r="I755" s="67">
        <f t="shared" si="265"/>
        <v>0</v>
      </c>
      <c r="J755" s="67">
        <f t="shared" si="265"/>
        <v>0</v>
      </c>
      <c r="K755" s="67">
        <f t="shared" si="265"/>
        <v>0</v>
      </c>
      <c r="L755" s="67">
        <f t="shared" si="265"/>
        <v>0</v>
      </c>
      <c r="M755" s="67">
        <f t="shared" si="265"/>
        <v>27.100047800386971</v>
      </c>
      <c r="N755" s="67">
        <f t="shared" si="265"/>
        <v>24.619844252899824</v>
      </c>
      <c r="O755" s="67">
        <f t="shared" si="265"/>
        <v>22.881688097522328</v>
      </c>
      <c r="P755" s="67">
        <f t="shared" si="265"/>
        <v>22.067539241385322</v>
      </c>
    </row>
    <row r="756" spans="2:16" ht="13" hidden="1" outlineLevel="1" x14ac:dyDescent="0.3">
      <c r="B756" s="14"/>
      <c r="C756" s="13" t="s">
        <v>365</v>
      </c>
      <c r="D756" s="12" t="s">
        <v>41</v>
      </c>
      <c r="E756" s="12" t="s">
        <v>56</v>
      </c>
      <c r="F756" s="69">
        <v>25089.122576540329</v>
      </c>
      <c r="G756" s="14"/>
      <c r="H756" s="67">
        <f t="shared" ref="H756:P756" si="266">+H577/H$696</f>
        <v>0</v>
      </c>
      <c r="I756" s="67">
        <f t="shared" si="266"/>
        <v>0</v>
      </c>
      <c r="J756" s="67">
        <f t="shared" si="266"/>
        <v>0</v>
      </c>
      <c r="K756" s="67">
        <f t="shared" si="266"/>
        <v>0</v>
      </c>
      <c r="L756" s="67">
        <f t="shared" si="266"/>
        <v>0</v>
      </c>
      <c r="M756" s="67">
        <f t="shared" si="266"/>
        <v>75.880659378636238</v>
      </c>
      <c r="N756" s="67">
        <f t="shared" si="266"/>
        <v>68.943165467464794</v>
      </c>
      <c r="O756" s="67">
        <f t="shared" si="266"/>
        <v>64.08300398070196</v>
      </c>
      <c r="P756" s="67">
        <f t="shared" si="266"/>
        <v>61.810485149982533</v>
      </c>
    </row>
    <row r="757" spans="2:16" ht="13" hidden="1" outlineLevel="1" x14ac:dyDescent="0.3">
      <c r="B757" s="14"/>
      <c r="C757" s="13" t="s">
        <v>366</v>
      </c>
      <c r="D757" s="12" t="s">
        <v>41</v>
      </c>
      <c r="E757" s="12" t="s">
        <v>56</v>
      </c>
      <c r="F757" s="69">
        <v>8722.2731413333331</v>
      </c>
      <c r="G757" s="14"/>
      <c r="H757" s="67">
        <f t="shared" ref="H757:P757" si="267">+H578/H$696</f>
        <v>0</v>
      </c>
      <c r="I757" s="67">
        <f t="shared" si="267"/>
        <v>0</v>
      </c>
      <c r="J757" s="67">
        <f t="shared" si="267"/>
        <v>0</v>
      </c>
      <c r="K757" s="67">
        <f t="shared" si="267"/>
        <v>0</v>
      </c>
      <c r="L757" s="67">
        <f t="shared" si="267"/>
        <v>0</v>
      </c>
      <c r="M757" s="67">
        <f t="shared" si="267"/>
        <v>26.40068014515877</v>
      </c>
      <c r="N757" s="67">
        <f t="shared" si="267"/>
        <v>23.974720805034032</v>
      </c>
      <c r="O757" s="67">
        <f t="shared" si="267"/>
        <v>22.272227138977247</v>
      </c>
      <c r="P757" s="67">
        <f t="shared" si="267"/>
        <v>21.469341020402123</v>
      </c>
    </row>
    <row r="758" spans="2:16" ht="13" hidden="1" outlineLevel="1" x14ac:dyDescent="0.3">
      <c r="B758" s="14"/>
      <c r="C758" s="13" t="s">
        <v>367</v>
      </c>
      <c r="D758" s="12" t="s">
        <v>41</v>
      </c>
      <c r="E758" s="12" t="s">
        <v>56</v>
      </c>
      <c r="F758" s="69">
        <v>68142.566132319378</v>
      </c>
      <c r="G758" s="14"/>
      <c r="H758" s="67">
        <f t="shared" ref="H758:P758" si="268">+H579/H$696</f>
        <v>0</v>
      </c>
      <c r="I758" s="67">
        <f t="shared" si="268"/>
        <v>0</v>
      </c>
      <c r="J758" s="67">
        <f t="shared" si="268"/>
        <v>0</v>
      </c>
      <c r="K758" s="67">
        <f t="shared" si="268"/>
        <v>0</v>
      </c>
      <c r="L758" s="67">
        <f t="shared" si="268"/>
        <v>0</v>
      </c>
      <c r="M758" s="67">
        <f t="shared" si="268"/>
        <v>206.13212499416085</v>
      </c>
      <c r="N758" s="67">
        <f t="shared" si="268"/>
        <v>187.2632614116539</v>
      </c>
      <c r="O758" s="67">
        <f t="shared" si="268"/>
        <v>174.03887051190196</v>
      </c>
      <c r="P758" s="67">
        <f t="shared" si="268"/>
        <v>167.84258737005652</v>
      </c>
    </row>
    <row r="759" spans="2:16" ht="13" hidden="1" outlineLevel="1" x14ac:dyDescent="0.3">
      <c r="B759" s="14"/>
      <c r="C759" s="13" t="s">
        <v>368</v>
      </c>
      <c r="D759" s="12" t="s">
        <v>41</v>
      </c>
      <c r="E759" s="12" t="s">
        <v>56</v>
      </c>
      <c r="F759" s="69">
        <v>34852.536054999997</v>
      </c>
      <c r="G759" s="14"/>
      <c r="H759" s="67">
        <f t="shared" ref="H759:P759" si="269">+H580/H$696</f>
        <v>0</v>
      </c>
      <c r="I759" s="67">
        <f t="shared" si="269"/>
        <v>0</v>
      </c>
      <c r="J759" s="67">
        <f t="shared" si="269"/>
        <v>0</v>
      </c>
      <c r="K759" s="67">
        <f t="shared" si="269"/>
        <v>0</v>
      </c>
      <c r="L759" s="67">
        <f t="shared" si="269"/>
        <v>0</v>
      </c>
      <c r="M759" s="67">
        <f t="shared" si="269"/>
        <v>109.80402602689419</v>
      </c>
      <c r="N759" s="67">
        <f t="shared" si="269"/>
        <v>97.159985717212294</v>
      </c>
      <c r="O759" s="67">
        <f t="shared" si="269"/>
        <v>87.673603265304564</v>
      </c>
      <c r="P759" s="67">
        <f t="shared" si="269"/>
        <v>81.783861452895252</v>
      </c>
    </row>
    <row r="760" spans="2:16" ht="13" hidden="1" outlineLevel="1" x14ac:dyDescent="0.3">
      <c r="B760" s="14"/>
      <c r="C760" s="13" t="s">
        <v>369</v>
      </c>
      <c r="D760" s="12" t="s">
        <v>41</v>
      </c>
      <c r="E760" s="12" t="s">
        <v>56</v>
      </c>
      <c r="F760" s="69">
        <v>5894.8739289999994</v>
      </c>
      <c r="G760" s="14"/>
      <c r="H760" s="67">
        <f t="shared" ref="H760:P760" si="270">+H581/H$696</f>
        <v>0</v>
      </c>
      <c r="I760" s="67">
        <f t="shared" si="270"/>
        <v>0</v>
      </c>
      <c r="J760" s="67">
        <f t="shared" si="270"/>
        <v>0</v>
      </c>
      <c r="K760" s="67">
        <f t="shared" si="270"/>
        <v>0</v>
      </c>
      <c r="L760" s="67">
        <f t="shared" si="270"/>
        <v>0</v>
      </c>
      <c r="M760" s="67">
        <f t="shared" si="270"/>
        <v>18.092106172127341</v>
      </c>
      <c r="N760" s="67">
        <f t="shared" si="270"/>
        <v>16.281873560326495</v>
      </c>
      <c r="O760" s="67">
        <f t="shared" si="270"/>
        <v>14.976024088559814</v>
      </c>
      <c r="P760" s="67">
        <f t="shared" si="270"/>
        <v>14.278281292552148</v>
      </c>
    </row>
    <row r="761" spans="2:16" ht="13" hidden="1" outlineLevel="1" x14ac:dyDescent="0.3">
      <c r="B761" s="14"/>
      <c r="C761" s="13" t="s">
        <v>370</v>
      </c>
      <c r="D761" s="12" t="s">
        <v>41</v>
      </c>
      <c r="E761" s="12" t="s">
        <v>56</v>
      </c>
      <c r="F761" s="69">
        <v>39949.751243527433</v>
      </c>
      <c r="G761" s="14"/>
      <c r="H761" s="67">
        <f t="shared" ref="H761:P761" si="271">+H582/H$696</f>
        <v>0</v>
      </c>
      <c r="I761" s="67">
        <f t="shared" si="271"/>
        <v>0</v>
      </c>
      <c r="J761" s="67">
        <f t="shared" si="271"/>
        <v>0</v>
      </c>
      <c r="K761" s="67">
        <f t="shared" si="271"/>
        <v>0</v>
      </c>
      <c r="L761" s="67">
        <f t="shared" si="271"/>
        <v>0</v>
      </c>
      <c r="M761" s="67">
        <f t="shared" si="271"/>
        <v>120.83769192092757</v>
      </c>
      <c r="N761" s="67">
        <f t="shared" si="271"/>
        <v>109.78289351786042</v>
      </c>
      <c r="O761" s="67">
        <f t="shared" si="271"/>
        <v>102.0365952863509</v>
      </c>
      <c r="P761" s="67">
        <f t="shared" si="271"/>
        <v>98.410641123830132</v>
      </c>
    </row>
    <row r="762" spans="2:16" ht="13" hidden="1" outlineLevel="1" x14ac:dyDescent="0.3">
      <c r="B762" s="14"/>
      <c r="C762" s="13" t="s">
        <v>371</v>
      </c>
      <c r="D762" s="12" t="s">
        <v>41</v>
      </c>
      <c r="E762" s="12" t="s">
        <v>56</v>
      </c>
      <c r="F762" s="69">
        <v>88103.519696000003</v>
      </c>
      <c r="G762" s="14"/>
      <c r="H762" s="67">
        <f t="shared" ref="H762:P762" si="272">+H583/H$696</f>
        <v>0</v>
      </c>
      <c r="I762" s="67">
        <f t="shared" si="272"/>
        <v>0</v>
      </c>
      <c r="J762" s="67">
        <f t="shared" si="272"/>
        <v>0</v>
      </c>
      <c r="K762" s="67">
        <f t="shared" si="272"/>
        <v>0</v>
      </c>
      <c r="L762" s="67">
        <f t="shared" si="272"/>
        <v>0</v>
      </c>
      <c r="M762" s="67">
        <f t="shared" si="272"/>
        <v>270.40073319236285</v>
      </c>
      <c r="N762" s="67">
        <f t="shared" si="272"/>
        <v>243.34538536150725</v>
      </c>
      <c r="O762" s="67">
        <f t="shared" si="272"/>
        <v>223.828439614828</v>
      </c>
      <c r="P762" s="67">
        <f t="shared" si="272"/>
        <v>213.40012564048118</v>
      </c>
    </row>
    <row r="763" spans="2:16" ht="13" hidden="1" outlineLevel="1" x14ac:dyDescent="0.3">
      <c r="B763" s="14"/>
      <c r="C763" s="13" t="s">
        <v>372</v>
      </c>
      <c r="D763" s="12" t="s">
        <v>41</v>
      </c>
      <c r="E763" s="12" t="s">
        <v>56</v>
      </c>
      <c r="F763" s="69">
        <v>50759.652610999998</v>
      </c>
      <c r="G763" s="14"/>
      <c r="H763" s="67">
        <f t="shared" ref="H763:P763" si="273">+H584/H$696</f>
        <v>0</v>
      </c>
      <c r="I763" s="67">
        <f t="shared" si="273"/>
        <v>0</v>
      </c>
      <c r="J763" s="67">
        <f t="shared" si="273"/>
        <v>0</v>
      </c>
      <c r="K763" s="67">
        <f t="shared" si="273"/>
        <v>0</v>
      </c>
      <c r="L763" s="67">
        <f t="shared" si="273"/>
        <v>0</v>
      </c>
      <c r="M763" s="67">
        <f t="shared" si="273"/>
        <v>155.78772936613095</v>
      </c>
      <c r="N763" s="67">
        <f t="shared" si="273"/>
        <v>140.20015622600411</v>
      </c>
      <c r="O763" s="67">
        <f t="shared" si="273"/>
        <v>128.95573160429231</v>
      </c>
      <c r="P763" s="67">
        <f t="shared" si="273"/>
        <v>122.9475993925174</v>
      </c>
    </row>
    <row r="764" spans="2:16" ht="13" hidden="1" outlineLevel="1" x14ac:dyDescent="0.3">
      <c r="B764" s="14"/>
      <c r="C764" s="13" t="s">
        <v>373</v>
      </c>
      <c r="D764" s="12" t="s">
        <v>41</v>
      </c>
      <c r="E764" s="12" t="s">
        <v>56</v>
      </c>
      <c r="F764" s="69">
        <v>36595.437463291928</v>
      </c>
      <c r="G764" s="14"/>
      <c r="H764" s="67">
        <f t="shared" ref="H764:P764" si="274">+H585/H$696</f>
        <v>0</v>
      </c>
      <c r="I764" s="67">
        <f t="shared" si="274"/>
        <v>0</v>
      </c>
      <c r="J764" s="67">
        <f t="shared" si="274"/>
        <v>0</v>
      </c>
      <c r="K764" s="67">
        <f t="shared" si="274"/>
        <v>0</v>
      </c>
      <c r="L764" s="67">
        <f t="shared" si="274"/>
        <v>0</v>
      </c>
      <c r="M764" s="67">
        <f t="shared" si="274"/>
        <v>0</v>
      </c>
      <c r="N764" s="67">
        <f t="shared" si="274"/>
        <v>137.07530064292706</v>
      </c>
      <c r="O764" s="67">
        <f t="shared" si="274"/>
        <v>127.40512887132779</v>
      </c>
      <c r="P764" s="67">
        <f t="shared" si="274"/>
        <v>122.87966870647072</v>
      </c>
    </row>
    <row r="765" spans="2:16" ht="13" hidden="1" outlineLevel="1" x14ac:dyDescent="0.3">
      <c r="B765" s="14"/>
      <c r="C765" s="13" t="s">
        <v>408</v>
      </c>
      <c r="D765" s="12" t="s">
        <v>41</v>
      </c>
      <c r="E765" s="12" t="s">
        <v>56</v>
      </c>
      <c r="F765" s="69">
        <v>13571.769992179556</v>
      </c>
      <c r="G765" s="14"/>
      <c r="H765" s="67">
        <f t="shared" ref="H765:P765" si="275">+H586/H$696</f>
        <v>17.544410085905593</v>
      </c>
      <c r="I765" s="67">
        <f t="shared" si="275"/>
        <v>16.24462442812505</v>
      </c>
      <c r="J765" s="67">
        <f t="shared" si="275"/>
        <v>16.016077642066435</v>
      </c>
      <c r="K765" s="67">
        <f t="shared" si="275"/>
        <v>15.953945326953756</v>
      </c>
      <c r="L765" s="67">
        <f t="shared" si="275"/>
        <v>16.626447798267634</v>
      </c>
      <c r="M765" s="67">
        <f t="shared" si="275"/>
        <v>16.455209598096651</v>
      </c>
      <c r="N765" s="67">
        <f t="shared" si="275"/>
        <v>14.983520631406275</v>
      </c>
      <c r="O765" s="67">
        <f t="shared" si="275"/>
        <v>13.960408270506081</v>
      </c>
      <c r="P765" s="67">
        <f t="shared" si="275"/>
        <v>13.500301541712112</v>
      </c>
    </row>
    <row r="766" spans="2:16" ht="13" hidden="1" outlineLevel="1" x14ac:dyDescent="0.3">
      <c r="B766" s="14"/>
      <c r="C766" s="13" t="s">
        <v>409</v>
      </c>
      <c r="D766" s="12" t="s">
        <v>41</v>
      </c>
      <c r="E766" s="12" t="s">
        <v>56</v>
      </c>
      <c r="F766" s="69">
        <v>11267.170107976352</v>
      </c>
      <c r="G766" s="14"/>
      <c r="H766" s="67">
        <f t="shared" ref="H766:P766" si="276">+H587/H$696</f>
        <v>13.050662131181953</v>
      </c>
      <c r="I766" s="67">
        <f t="shared" si="276"/>
        <v>15.080238478384118</v>
      </c>
      <c r="J766" s="67">
        <f t="shared" si="276"/>
        <v>13.199456944810901</v>
      </c>
      <c r="K766" s="67">
        <f t="shared" si="276"/>
        <v>13.171674893374734</v>
      </c>
      <c r="L766" s="67">
        <f t="shared" si="276"/>
        <v>13.753468771874447</v>
      </c>
      <c r="M766" s="67">
        <f t="shared" si="276"/>
        <v>13.640157998547142</v>
      </c>
      <c r="N766" s="67">
        <f t="shared" si="276"/>
        <v>12.448122447510535</v>
      </c>
      <c r="O766" s="67">
        <f t="shared" si="276"/>
        <v>11.626300756956157</v>
      </c>
      <c r="P766" s="67">
        <f t="shared" si="276"/>
        <v>11.272751880426084</v>
      </c>
    </row>
    <row r="767" spans="2:16" ht="13" hidden="1" outlineLevel="1" x14ac:dyDescent="0.3">
      <c r="B767" s="14"/>
      <c r="C767" s="13" t="s">
        <v>410</v>
      </c>
      <c r="D767" s="12" t="s">
        <v>41</v>
      </c>
      <c r="E767" s="12" t="s">
        <v>56</v>
      </c>
      <c r="F767" s="69">
        <v>15.781249999999998</v>
      </c>
      <c r="G767" s="14"/>
      <c r="H767" s="67">
        <f t="shared" ref="H767:P767" si="277">+H588/H$696</f>
        <v>8.4166666666666667E-2</v>
      </c>
      <c r="I767" s="67">
        <f t="shared" si="277"/>
        <v>5.1050775322910726E-2</v>
      </c>
      <c r="J767" s="67">
        <f t="shared" si="277"/>
        <v>2.0832549211954508E-2</v>
      </c>
      <c r="K767" s="67">
        <f t="shared" si="277"/>
        <v>0</v>
      </c>
      <c r="L767" s="67">
        <f t="shared" si="277"/>
        <v>0</v>
      </c>
      <c r="M767" s="67">
        <f t="shared" si="277"/>
        <v>0</v>
      </c>
      <c r="N767" s="67">
        <f t="shared" si="277"/>
        <v>0</v>
      </c>
      <c r="O767" s="67">
        <f t="shared" si="277"/>
        <v>0</v>
      </c>
      <c r="P767" s="67">
        <f t="shared" si="277"/>
        <v>0</v>
      </c>
    </row>
    <row r="768" spans="2:16" ht="13" hidden="1" outlineLevel="1" x14ac:dyDescent="0.3">
      <c r="B768" s="14"/>
      <c r="C768" s="13" t="s">
        <v>411</v>
      </c>
      <c r="D768" s="12" t="s">
        <v>41</v>
      </c>
      <c r="E768" s="12" t="s">
        <v>56</v>
      </c>
      <c r="F768" s="69">
        <v>8089.7010915268766</v>
      </c>
      <c r="G768" s="14"/>
      <c r="H768" s="67">
        <f t="shared" ref="H768:P768" si="278">+H589/H$696</f>
        <v>0</v>
      </c>
      <c r="I768" s="67">
        <f t="shared" si="278"/>
        <v>11.835780003022325</v>
      </c>
      <c r="J768" s="67">
        <f t="shared" si="278"/>
        <v>6.9380490551065614</v>
      </c>
      <c r="K768" s="67">
        <f t="shared" si="278"/>
        <v>7.0157647716727141</v>
      </c>
      <c r="L768" s="67">
        <f t="shared" si="278"/>
        <v>10.740752743847828</v>
      </c>
      <c r="M768" s="67">
        <f t="shared" si="278"/>
        <v>29.638913319436497</v>
      </c>
      <c r="N768" s="67">
        <f t="shared" si="278"/>
        <v>15.999334260218527</v>
      </c>
      <c r="O768" s="67">
        <f t="shared" si="278"/>
        <v>4.3130015278441753</v>
      </c>
      <c r="P768" s="67">
        <f t="shared" si="278"/>
        <v>0</v>
      </c>
    </row>
    <row r="769" spans="2:16" ht="13" hidden="1" outlineLevel="1" x14ac:dyDescent="0.3">
      <c r="B769" s="14"/>
      <c r="C769" s="13" t="s">
        <v>129</v>
      </c>
      <c r="D769" s="12" t="s">
        <v>41</v>
      </c>
      <c r="E769" s="12" t="s">
        <v>56</v>
      </c>
      <c r="F769" s="69">
        <v>128.08410583333324</v>
      </c>
      <c r="G769" s="14"/>
      <c r="H769" s="67">
        <f t="shared" ref="H769:P769" si="279">+H590/H$696</f>
        <v>0</v>
      </c>
      <c r="I769" s="67">
        <f t="shared" si="279"/>
        <v>0</v>
      </c>
      <c r="J769" s="67">
        <f t="shared" si="279"/>
        <v>0</v>
      </c>
      <c r="K769" s="67">
        <f t="shared" si="279"/>
        <v>0.77952802713720892</v>
      </c>
      <c r="L769" s="67">
        <f t="shared" si="279"/>
        <v>0.44093852396453914</v>
      </c>
      <c r="M769" s="67">
        <f t="shared" si="279"/>
        <v>4.0254748699807844E-2</v>
      </c>
      <c r="N769" s="67">
        <f t="shared" si="279"/>
        <v>0</v>
      </c>
      <c r="O769" s="67">
        <f t="shared" si="279"/>
        <v>0</v>
      </c>
      <c r="P769" s="67">
        <f t="shared" si="279"/>
        <v>0</v>
      </c>
    </row>
    <row r="770" spans="2:16" ht="13" hidden="1" outlineLevel="1" x14ac:dyDescent="0.3">
      <c r="B770" s="14"/>
      <c r="C770" s="13" t="s">
        <v>412</v>
      </c>
      <c r="D770" s="12" t="s">
        <v>41</v>
      </c>
      <c r="E770" s="12" t="s">
        <v>56</v>
      </c>
      <c r="F770" s="69">
        <v>7495.2646782440479</v>
      </c>
      <c r="G770" s="14"/>
      <c r="H770" s="67">
        <f t="shared" ref="H770:P770" si="280">+H591/H$696</f>
        <v>0</v>
      </c>
      <c r="I770" s="67">
        <f t="shared" si="280"/>
        <v>0</v>
      </c>
      <c r="J770" s="67">
        <f t="shared" si="280"/>
        <v>0</v>
      </c>
      <c r="K770" s="67">
        <f t="shared" si="280"/>
        <v>0</v>
      </c>
      <c r="L770" s="67">
        <f t="shared" si="280"/>
        <v>14.207809755399703</v>
      </c>
      <c r="M770" s="67">
        <f t="shared" si="280"/>
        <v>18.056467999978135</v>
      </c>
      <c r="N770" s="67">
        <f t="shared" si="280"/>
        <v>15.097491509144948</v>
      </c>
      <c r="O770" s="67">
        <f t="shared" si="280"/>
        <v>17.900439265295418</v>
      </c>
      <c r="P770" s="67">
        <f t="shared" si="280"/>
        <v>15.831643353043555</v>
      </c>
    </row>
    <row r="771" spans="2:16" ht="13" hidden="1" outlineLevel="1" x14ac:dyDescent="0.3">
      <c r="B771" s="14"/>
      <c r="C771" s="13" t="s">
        <v>413</v>
      </c>
      <c r="D771" s="12" t="s">
        <v>41</v>
      </c>
      <c r="E771" s="12" t="s">
        <v>56</v>
      </c>
      <c r="F771" s="69">
        <v>20659.621549912477</v>
      </c>
      <c r="G771" s="14"/>
      <c r="H771" s="67">
        <f t="shared" ref="H771:P771" si="281">+H592/H$696</f>
        <v>0</v>
      </c>
      <c r="I771" s="67">
        <f t="shared" si="281"/>
        <v>0</v>
      </c>
      <c r="J771" s="67">
        <f t="shared" si="281"/>
        <v>0</v>
      </c>
      <c r="K771" s="67">
        <f t="shared" si="281"/>
        <v>0</v>
      </c>
      <c r="L771" s="67">
        <f t="shared" si="281"/>
        <v>0</v>
      </c>
      <c r="M771" s="67">
        <f t="shared" si="281"/>
        <v>62.490484667040469</v>
      </c>
      <c r="N771" s="67">
        <f t="shared" si="281"/>
        <v>56.773290228154593</v>
      </c>
      <c r="O771" s="67">
        <f t="shared" si="281"/>
        <v>52.767082561542146</v>
      </c>
      <c r="P771" s="67">
        <f t="shared" si="281"/>
        <v>50.891670579338076</v>
      </c>
    </row>
    <row r="772" spans="2:16" ht="13" hidden="1" outlineLevel="1" x14ac:dyDescent="0.3">
      <c r="B772" s="14"/>
      <c r="C772" s="13" t="s">
        <v>414</v>
      </c>
      <c r="D772" s="12" t="s">
        <v>41</v>
      </c>
      <c r="E772" s="12" t="s">
        <v>56</v>
      </c>
      <c r="F772" s="69">
        <v>874.17021582136442</v>
      </c>
      <c r="G772" s="14"/>
      <c r="H772" s="67">
        <f t="shared" ref="H772:P772" si="282">+H593/H$696</f>
        <v>0</v>
      </c>
      <c r="I772" s="67">
        <f t="shared" si="282"/>
        <v>0</v>
      </c>
      <c r="J772" s="67">
        <f t="shared" si="282"/>
        <v>0</v>
      </c>
      <c r="K772" s="67">
        <f t="shared" si="282"/>
        <v>0</v>
      </c>
      <c r="L772" s="67">
        <f t="shared" si="282"/>
        <v>0</v>
      </c>
      <c r="M772" s="67">
        <f t="shared" si="282"/>
        <v>2.6441588165684404</v>
      </c>
      <c r="N772" s="67">
        <f t="shared" si="282"/>
        <v>2.4022472653592781</v>
      </c>
      <c r="O772" s="67">
        <f t="shared" si="282"/>
        <v>2.2327326683911335</v>
      </c>
      <c r="P772" s="67">
        <f t="shared" si="282"/>
        <v>2.1533783930344175</v>
      </c>
    </row>
    <row r="773" spans="2:16" ht="13" hidden="1" outlineLevel="1" x14ac:dyDescent="0.3">
      <c r="B773" s="14"/>
      <c r="C773" s="13" t="s">
        <v>415</v>
      </c>
      <c r="D773" s="12" t="s">
        <v>41</v>
      </c>
      <c r="E773" s="12" t="s">
        <v>56</v>
      </c>
      <c r="F773" s="69">
        <v>8942.0432335480255</v>
      </c>
      <c r="G773" s="14"/>
      <c r="H773" s="67">
        <f t="shared" ref="H773:P773" si="283">+H594/H$696</f>
        <v>0</v>
      </c>
      <c r="I773" s="67">
        <f t="shared" si="283"/>
        <v>0</v>
      </c>
      <c r="J773" s="67">
        <f t="shared" si="283"/>
        <v>0</v>
      </c>
      <c r="K773" s="67">
        <f t="shared" si="283"/>
        <v>0</v>
      </c>
      <c r="L773" s="67">
        <f t="shared" si="283"/>
        <v>0</v>
      </c>
      <c r="M773" s="67">
        <f t="shared" si="283"/>
        <v>27.047572688010494</v>
      </c>
      <c r="N773" s="67">
        <f t="shared" si="283"/>
        <v>24.573016233836999</v>
      </c>
      <c r="O773" s="67">
        <f t="shared" si="283"/>
        <v>22.839021152132716</v>
      </c>
      <c r="P773" s="67">
        <f t="shared" si="283"/>
        <v>22.027292099639315</v>
      </c>
    </row>
    <row r="774" spans="2:16" ht="13" hidden="1" outlineLevel="1" x14ac:dyDescent="0.3">
      <c r="B774" s="14"/>
      <c r="C774" s="13" t="s">
        <v>416</v>
      </c>
      <c r="D774" s="12" t="s">
        <v>41</v>
      </c>
      <c r="E774" s="12" t="s">
        <v>56</v>
      </c>
      <c r="F774" s="69">
        <v>1364.3953526413827</v>
      </c>
      <c r="G774" s="14"/>
      <c r="H774" s="67">
        <f t="shared" ref="H774:P774" si="284">+H595/H$696</f>
        <v>0</v>
      </c>
      <c r="I774" s="67">
        <f t="shared" si="284"/>
        <v>0</v>
      </c>
      <c r="J774" s="67">
        <f t="shared" si="284"/>
        <v>0</v>
      </c>
      <c r="K774" s="67">
        <f t="shared" si="284"/>
        <v>0</v>
      </c>
      <c r="L774" s="67">
        <f t="shared" si="284"/>
        <v>0</v>
      </c>
      <c r="M774" s="67">
        <f t="shared" si="284"/>
        <v>4.1269742845012951</v>
      </c>
      <c r="N774" s="67">
        <f t="shared" si="284"/>
        <v>3.7494013699289037</v>
      </c>
      <c r="O774" s="67">
        <f t="shared" si="284"/>
        <v>3.4848248330917393</v>
      </c>
      <c r="P774" s="67">
        <f t="shared" si="284"/>
        <v>3.3609695443283285</v>
      </c>
    </row>
    <row r="775" spans="2:16" ht="13" hidden="1" outlineLevel="1" x14ac:dyDescent="0.3">
      <c r="B775" s="14"/>
      <c r="C775" s="13" t="s">
        <v>417</v>
      </c>
      <c r="D775" s="12" t="s">
        <v>41</v>
      </c>
      <c r="E775" s="12" t="s">
        <v>56</v>
      </c>
      <c r="F775" s="69">
        <v>19.514894999999999</v>
      </c>
      <c r="G775" s="14"/>
      <c r="H775" s="67">
        <f t="shared" ref="H775:P775" si="285">+H596/H$696</f>
        <v>0</v>
      </c>
      <c r="I775" s="67">
        <f t="shared" si="285"/>
        <v>0</v>
      </c>
      <c r="J775" s="67">
        <f t="shared" si="285"/>
        <v>0</v>
      </c>
      <c r="K775" s="67">
        <f t="shared" si="285"/>
        <v>0</v>
      </c>
      <c r="L775" s="67">
        <f t="shared" si="285"/>
        <v>0</v>
      </c>
      <c r="M775" s="67">
        <f t="shared" si="285"/>
        <v>5.9030451279400334E-2</v>
      </c>
      <c r="N775" s="67">
        <f t="shared" si="285"/>
        <v>5.3628333346627109E-2</v>
      </c>
      <c r="O775" s="67">
        <f t="shared" si="285"/>
        <v>4.9842552685683765E-2</v>
      </c>
      <c r="P775" s="67">
        <f t="shared" si="285"/>
        <v>4.806950384668842E-2</v>
      </c>
    </row>
    <row r="776" spans="2:16" ht="13" hidden="1" outlineLevel="1" x14ac:dyDescent="0.3">
      <c r="B776" s="14"/>
      <c r="C776" s="13" t="s">
        <v>418</v>
      </c>
      <c r="D776" s="12" t="s">
        <v>41</v>
      </c>
      <c r="E776" s="12" t="s">
        <v>56</v>
      </c>
      <c r="F776" s="69">
        <v>1094.5397259964095</v>
      </c>
      <c r="G776" s="14"/>
      <c r="H776" s="67">
        <f t="shared" ref="H776:P776" si="286">+H597/H$696</f>
        <v>0</v>
      </c>
      <c r="I776" s="67">
        <f t="shared" si="286"/>
        <v>0</v>
      </c>
      <c r="J776" s="67">
        <f t="shared" si="286"/>
        <v>0</v>
      </c>
      <c r="K776" s="67">
        <f t="shared" si="286"/>
        <v>0</v>
      </c>
      <c r="L776" s="67">
        <f t="shared" si="286"/>
        <v>0</v>
      </c>
      <c r="M776" s="67">
        <f t="shared" si="286"/>
        <v>3.3107246325688409</v>
      </c>
      <c r="N776" s="67">
        <f t="shared" si="286"/>
        <v>3.0078296148896406</v>
      </c>
      <c r="O776" s="67">
        <f t="shared" si="286"/>
        <v>2.7955820947158121</v>
      </c>
      <c r="P776" s="67">
        <f t="shared" si="286"/>
        <v>2.6962234054884813</v>
      </c>
    </row>
    <row r="777" spans="2:16" ht="13" hidden="1" outlineLevel="1" x14ac:dyDescent="0.3">
      <c r="B777" s="14"/>
      <c r="C777" s="13" t="s">
        <v>419</v>
      </c>
      <c r="D777" s="12" t="s">
        <v>41</v>
      </c>
      <c r="E777" s="12" t="s">
        <v>56</v>
      </c>
      <c r="F777" s="69">
        <v>4733.1346560076299</v>
      </c>
      <c r="G777" s="14"/>
      <c r="H777" s="67">
        <f t="shared" ref="H777:P777" si="287">+H598/H$696</f>
        <v>0</v>
      </c>
      <c r="I777" s="67">
        <f t="shared" si="287"/>
        <v>0</v>
      </c>
      <c r="J777" s="67">
        <f t="shared" si="287"/>
        <v>0</v>
      </c>
      <c r="K777" s="67">
        <f t="shared" si="287"/>
        <v>0</v>
      </c>
      <c r="L777" s="67">
        <f t="shared" si="287"/>
        <v>0</v>
      </c>
      <c r="M777" s="67">
        <f t="shared" si="287"/>
        <v>14.316616494339202</v>
      </c>
      <c r="N777" s="67">
        <f t="shared" si="287"/>
        <v>13.006802998073129</v>
      </c>
      <c r="O777" s="67">
        <f t="shared" si="287"/>
        <v>12.08897784332884</v>
      </c>
      <c r="P777" s="67">
        <f t="shared" si="287"/>
        <v>11.659319563973783</v>
      </c>
    </row>
    <row r="778" spans="2:16" ht="13" hidden="1" outlineLevel="1" x14ac:dyDescent="0.3">
      <c r="B778" s="14"/>
      <c r="C778" s="13" t="s">
        <v>420</v>
      </c>
      <c r="D778" s="12" t="s">
        <v>41</v>
      </c>
      <c r="E778" s="12" t="s">
        <v>56</v>
      </c>
      <c r="F778" s="69">
        <v>93.856597845601428</v>
      </c>
      <c r="G778" s="14"/>
      <c r="H778" s="67">
        <f t="shared" ref="H778:P778" si="288">+H599/H$696</f>
        <v>0</v>
      </c>
      <c r="I778" s="67">
        <f t="shared" si="288"/>
        <v>0</v>
      </c>
      <c r="J778" s="67">
        <f t="shared" si="288"/>
        <v>0</v>
      </c>
      <c r="K778" s="67">
        <f t="shared" si="288"/>
        <v>0</v>
      </c>
      <c r="L778" s="67">
        <f t="shared" si="288"/>
        <v>0</v>
      </c>
      <c r="M778" s="67">
        <f t="shared" si="288"/>
        <v>0.28389408171883895</v>
      </c>
      <c r="N778" s="67">
        <f t="shared" si="288"/>
        <v>0.25792088477719927</v>
      </c>
      <c r="O778" s="67">
        <f t="shared" si="288"/>
        <v>0.23972069553642383</v>
      </c>
      <c r="P778" s="67">
        <f t="shared" si="288"/>
        <v>0.23120070460709843</v>
      </c>
    </row>
    <row r="779" spans="2:16" ht="13" hidden="1" outlineLevel="1" x14ac:dyDescent="0.3">
      <c r="B779" s="14"/>
      <c r="C779" s="13" t="s">
        <v>421</v>
      </c>
      <c r="D779" s="12" t="s">
        <v>41</v>
      </c>
      <c r="E779" s="12" t="s">
        <v>56</v>
      </c>
      <c r="F779" s="69">
        <v>202.55868148563738</v>
      </c>
      <c r="G779" s="14"/>
      <c r="H779" s="67">
        <f t="shared" ref="H779:P779" si="289">+H600/H$696</f>
        <v>0</v>
      </c>
      <c r="I779" s="67">
        <f t="shared" si="289"/>
        <v>0</v>
      </c>
      <c r="J779" s="67">
        <f t="shared" si="289"/>
        <v>0</v>
      </c>
      <c r="K779" s="67">
        <f t="shared" si="289"/>
        <v>0</v>
      </c>
      <c r="L779" s="67">
        <f t="shared" si="289"/>
        <v>0</v>
      </c>
      <c r="M779" s="67">
        <f t="shared" si="289"/>
        <v>0.61269225813131012</v>
      </c>
      <c r="N779" s="67">
        <f t="shared" si="289"/>
        <v>0.55663763174137781</v>
      </c>
      <c r="O779" s="67">
        <f t="shared" si="289"/>
        <v>0.5173584929272349</v>
      </c>
      <c r="P779" s="67">
        <f t="shared" si="289"/>
        <v>0.49897088706331094</v>
      </c>
    </row>
    <row r="780" spans="2:16" ht="13" hidden="1" outlineLevel="1" x14ac:dyDescent="0.3">
      <c r="B780" s="14"/>
      <c r="C780" s="13" t="s">
        <v>422</v>
      </c>
      <c r="D780" s="12" t="s">
        <v>41</v>
      </c>
      <c r="E780" s="12" t="s">
        <v>56</v>
      </c>
      <c r="F780" s="69">
        <v>9199.0217725112216</v>
      </c>
      <c r="G780" s="14"/>
      <c r="H780" s="67">
        <f t="shared" ref="H780:P780" si="290">+H601/H$696</f>
        <v>0</v>
      </c>
      <c r="I780" s="67">
        <f t="shared" si="290"/>
        <v>0</v>
      </c>
      <c r="J780" s="67">
        <f t="shared" si="290"/>
        <v>0</v>
      </c>
      <c r="K780" s="67">
        <f t="shared" si="290"/>
        <v>0</v>
      </c>
      <c r="L780" s="67">
        <f t="shared" si="290"/>
        <v>0</v>
      </c>
      <c r="M780" s="67">
        <f t="shared" si="290"/>
        <v>27.824872185488761</v>
      </c>
      <c r="N780" s="67">
        <f t="shared" si="290"/>
        <v>25.279201346653188</v>
      </c>
      <c r="O780" s="67">
        <f t="shared" si="290"/>
        <v>23.495374306969328</v>
      </c>
      <c r="P780" s="67">
        <f t="shared" si="290"/>
        <v>22.660317594287353</v>
      </c>
    </row>
    <row r="781" spans="2:16" ht="13" hidden="1" outlineLevel="1" x14ac:dyDescent="0.3">
      <c r="B781" s="14"/>
      <c r="C781" s="13" t="s">
        <v>423</v>
      </c>
      <c r="D781" s="12" t="s">
        <v>41</v>
      </c>
      <c r="E781" s="12" t="s">
        <v>56</v>
      </c>
      <c r="F781" s="69">
        <v>13824.650565989676</v>
      </c>
      <c r="G781" s="14"/>
      <c r="H781" s="67">
        <f t="shared" ref="H781:P781" si="291">+H602/H$696</f>
        <v>0</v>
      </c>
      <c r="I781" s="67">
        <f t="shared" si="291"/>
        <v>0</v>
      </c>
      <c r="J781" s="67">
        <f t="shared" si="291"/>
        <v>0</v>
      </c>
      <c r="K781" s="67">
        <f t="shared" si="291"/>
        <v>0</v>
      </c>
      <c r="L781" s="67">
        <f t="shared" si="291"/>
        <v>0</v>
      </c>
      <c r="M781" s="67">
        <f t="shared" si="291"/>
        <v>41.816308790265815</v>
      </c>
      <c r="N781" s="67">
        <f t="shared" si="291"/>
        <v>37.990574851022799</v>
      </c>
      <c r="O781" s="67">
        <f t="shared" si="291"/>
        <v>35.309769641116105</v>
      </c>
      <c r="P781" s="67">
        <f t="shared" si="291"/>
        <v>34.054813675025272</v>
      </c>
    </row>
    <row r="782" spans="2:16" ht="13" hidden="1" outlineLevel="1" x14ac:dyDescent="0.3">
      <c r="B782" s="14"/>
      <c r="C782" s="13" t="s">
        <v>424</v>
      </c>
      <c r="D782" s="12" t="s">
        <v>41</v>
      </c>
      <c r="E782" s="12" t="s">
        <v>56</v>
      </c>
      <c r="F782" s="69">
        <v>6661.9864413330361</v>
      </c>
      <c r="G782" s="14"/>
      <c r="H782" s="67">
        <f t="shared" ref="H782:P782" si="292">+H603/H$696</f>
        <v>0</v>
      </c>
      <c r="I782" s="67">
        <f t="shared" si="292"/>
        <v>0</v>
      </c>
      <c r="J782" s="67">
        <f t="shared" si="292"/>
        <v>0</v>
      </c>
      <c r="K782" s="67">
        <f t="shared" si="292"/>
        <v>0</v>
      </c>
      <c r="L782" s="67">
        <f t="shared" si="292"/>
        <v>0</v>
      </c>
      <c r="M782" s="67">
        <f t="shared" si="292"/>
        <v>20.150938416677683</v>
      </c>
      <c r="N782" s="67">
        <f t="shared" si="292"/>
        <v>18.307348409847009</v>
      </c>
      <c r="O782" s="67">
        <f t="shared" si="292"/>
        <v>17.015490226885781</v>
      </c>
      <c r="P782" s="67">
        <f t="shared" si="292"/>
        <v>16.410737174310629</v>
      </c>
    </row>
    <row r="783" spans="2:16" ht="13" hidden="1" outlineLevel="1" x14ac:dyDescent="0.3">
      <c r="B783" s="14"/>
      <c r="C783" s="13" t="s">
        <v>425</v>
      </c>
      <c r="D783" s="12" t="s">
        <v>41</v>
      </c>
      <c r="E783" s="12" t="s">
        <v>56</v>
      </c>
      <c r="F783" s="69">
        <v>371.40362251346494</v>
      </c>
      <c r="G783" s="14"/>
      <c r="H783" s="67">
        <f t="shared" ref="H783:P783" si="293">+H604/H$696</f>
        <v>0</v>
      </c>
      <c r="I783" s="67">
        <f t="shared" si="293"/>
        <v>0</v>
      </c>
      <c r="J783" s="67">
        <f t="shared" si="293"/>
        <v>0</v>
      </c>
      <c r="K783" s="67">
        <f t="shared" si="293"/>
        <v>0</v>
      </c>
      <c r="L783" s="67">
        <f t="shared" si="293"/>
        <v>0</v>
      </c>
      <c r="M783" s="67">
        <f t="shared" si="293"/>
        <v>1.1234083994176207</v>
      </c>
      <c r="N783" s="67">
        <f t="shared" si="293"/>
        <v>1.0206288436505384</v>
      </c>
      <c r="O783" s="67">
        <f t="shared" si="293"/>
        <v>0.94860816135844761</v>
      </c>
      <c r="P783" s="67">
        <f t="shared" si="293"/>
        <v>0.91489337126836967</v>
      </c>
    </row>
    <row r="784" spans="2:16" ht="13" hidden="1" outlineLevel="1" x14ac:dyDescent="0.3">
      <c r="B784" s="14"/>
      <c r="C784" s="13" t="s">
        <v>426</v>
      </c>
      <c r="D784" s="12" t="s">
        <v>41</v>
      </c>
      <c r="E784" s="12" t="s">
        <v>56</v>
      </c>
      <c r="F784" s="69">
        <v>4127.1093238509866</v>
      </c>
      <c r="G784" s="14"/>
      <c r="H784" s="67">
        <f t="shared" ref="H784:P784" si="294">+H605/H$696</f>
        <v>0</v>
      </c>
      <c r="I784" s="67">
        <f t="shared" si="294"/>
        <v>0</v>
      </c>
      <c r="J784" s="67">
        <f t="shared" si="294"/>
        <v>0</v>
      </c>
      <c r="K784" s="67">
        <f t="shared" si="294"/>
        <v>0</v>
      </c>
      <c r="L784" s="67">
        <f t="shared" si="294"/>
        <v>0</v>
      </c>
      <c r="M784" s="67">
        <f t="shared" si="294"/>
        <v>12.483532735496912</v>
      </c>
      <c r="N784" s="67">
        <f t="shared" si="294"/>
        <v>11.341426312202103</v>
      </c>
      <c r="O784" s="67">
        <f t="shared" si="294"/>
        <v>10.541118476251953</v>
      </c>
      <c r="P784" s="67">
        <f t="shared" si="294"/>
        <v>10.166473168296198</v>
      </c>
    </row>
    <row r="785" spans="2:16" ht="13" hidden="1" outlineLevel="1" x14ac:dyDescent="0.3">
      <c r="B785" s="14"/>
      <c r="C785" s="13" t="s">
        <v>427</v>
      </c>
      <c r="D785" s="12" t="s">
        <v>41</v>
      </c>
      <c r="E785" s="12" t="s">
        <v>56</v>
      </c>
      <c r="F785" s="69">
        <v>3838.8193228231594</v>
      </c>
      <c r="G785" s="14"/>
      <c r="H785" s="67">
        <f t="shared" ref="H785:P785" si="295">+H606/H$696</f>
        <v>0</v>
      </c>
      <c r="I785" s="67">
        <f t="shared" si="295"/>
        <v>0</v>
      </c>
      <c r="J785" s="67">
        <f t="shared" si="295"/>
        <v>0</v>
      </c>
      <c r="K785" s="67">
        <f t="shared" si="295"/>
        <v>0</v>
      </c>
      <c r="L785" s="67">
        <f t="shared" si="295"/>
        <v>0</v>
      </c>
      <c r="M785" s="67">
        <f t="shared" si="295"/>
        <v>11.61152344697406</v>
      </c>
      <c r="N785" s="67">
        <f t="shared" si="295"/>
        <v>10.54919631618375</v>
      </c>
      <c r="O785" s="67">
        <f t="shared" si="295"/>
        <v>9.8047921960657174</v>
      </c>
      <c r="P785" s="67">
        <f t="shared" si="295"/>
        <v>9.4563168990644737</v>
      </c>
    </row>
    <row r="786" spans="2:16" ht="13" hidden="1" outlineLevel="1" x14ac:dyDescent="0.3">
      <c r="B786" s="14"/>
      <c r="C786" s="13" t="s">
        <v>428</v>
      </c>
      <c r="D786" s="12" t="s">
        <v>41</v>
      </c>
      <c r="E786" s="12" t="s">
        <v>56</v>
      </c>
      <c r="F786" s="69">
        <v>3131.6710901009869</v>
      </c>
      <c r="G786" s="14"/>
      <c r="H786" s="67">
        <f t="shared" ref="H786:P786" si="296">+H607/H$696</f>
        <v>0</v>
      </c>
      <c r="I786" s="67">
        <f t="shared" si="296"/>
        <v>0</v>
      </c>
      <c r="J786" s="67">
        <f t="shared" si="296"/>
        <v>0</v>
      </c>
      <c r="K786" s="67">
        <f t="shared" si="296"/>
        <v>0</v>
      </c>
      <c r="L786" s="67">
        <f t="shared" si="296"/>
        <v>0</v>
      </c>
      <c r="M786" s="67">
        <f t="shared" si="296"/>
        <v>9.4725667537215195</v>
      </c>
      <c r="N786" s="67">
        <f t="shared" si="296"/>
        <v>8.6059307169727806</v>
      </c>
      <c r="O786" s="67">
        <f t="shared" si="296"/>
        <v>7.998653148980531</v>
      </c>
      <c r="P786" s="67">
        <f t="shared" si="296"/>
        <v>7.7143704251896716</v>
      </c>
    </row>
    <row r="787" spans="2:16" ht="13" hidden="1" outlineLevel="1" x14ac:dyDescent="0.3">
      <c r="B787" s="14"/>
      <c r="C787" s="13" t="s">
        <v>429</v>
      </c>
      <c r="D787" s="12" t="s">
        <v>41</v>
      </c>
      <c r="E787" s="12" t="s">
        <v>56</v>
      </c>
      <c r="F787" s="69">
        <v>5565.7664194367162</v>
      </c>
      <c r="G787" s="14"/>
      <c r="H787" s="67">
        <f t="shared" ref="H787:P787" si="297">+H608/H$696</f>
        <v>0</v>
      </c>
      <c r="I787" s="67">
        <f t="shared" si="297"/>
        <v>0</v>
      </c>
      <c r="J787" s="67">
        <f t="shared" si="297"/>
        <v>0</v>
      </c>
      <c r="K787" s="67">
        <f t="shared" si="297"/>
        <v>0</v>
      </c>
      <c r="L787" s="67">
        <f t="shared" si="297"/>
        <v>0</v>
      </c>
      <c r="M787" s="67">
        <f t="shared" si="297"/>
        <v>16.835131285142651</v>
      </c>
      <c r="N787" s="67">
        <f t="shared" si="297"/>
        <v>15.294901288941384</v>
      </c>
      <c r="O787" s="67">
        <f t="shared" si="297"/>
        <v>14.215616460501922</v>
      </c>
      <c r="P787" s="67">
        <f t="shared" si="297"/>
        <v>13.710374628847708</v>
      </c>
    </row>
    <row r="788" spans="2:16" ht="13" hidden="1" outlineLevel="1" x14ac:dyDescent="0.3">
      <c r="B788" s="14"/>
      <c r="C788" s="13" t="s">
        <v>430</v>
      </c>
      <c r="D788" s="12" t="s">
        <v>41</v>
      </c>
      <c r="E788" s="12" t="s">
        <v>56</v>
      </c>
      <c r="F788" s="69">
        <v>5228.5282504151701</v>
      </c>
      <c r="G788" s="14"/>
      <c r="H788" s="67">
        <f t="shared" ref="H788:P788" si="298">+H609/H$696</f>
        <v>0</v>
      </c>
      <c r="I788" s="67">
        <f t="shared" si="298"/>
        <v>0</v>
      </c>
      <c r="J788" s="67">
        <f t="shared" si="298"/>
        <v>0</v>
      </c>
      <c r="K788" s="67">
        <f t="shared" si="298"/>
        <v>0</v>
      </c>
      <c r="L788" s="67">
        <f t="shared" si="298"/>
        <v>0</v>
      </c>
      <c r="M788" s="67">
        <f t="shared" si="298"/>
        <v>15.815065328006517</v>
      </c>
      <c r="N788" s="67">
        <f t="shared" si="298"/>
        <v>14.36816018675731</v>
      </c>
      <c r="O788" s="67">
        <f t="shared" si="298"/>
        <v>13.354270851402966</v>
      </c>
      <c r="P788" s="67">
        <f t="shared" si="298"/>
        <v>12.879642383188715</v>
      </c>
    </row>
    <row r="789" spans="2:16" ht="13" hidden="1" outlineLevel="1" x14ac:dyDescent="0.3">
      <c r="B789" s="14"/>
      <c r="C789" s="13" t="s">
        <v>431</v>
      </c>
      <c r="D789" s="12" t="s">
        <v>41</v>
      </c>
      <c r="E789" s="12" t="s">
        <v>56</v>
      </c>
      <c r="F789" s="69">
        <v>2045.2585195399465</v>
      </c>
      <c r="G789" s="14"/>
      <c r="H789" s="67">
        <f t="shared" ref="H789:P789" si="299">+H610/H$696</f>
        <v>0</v>
      </c>
      <c r="I789" s="67">
        <f t="shared" si="299"/>
        <v>0</v>
      </c>
      <c r="J789" s="67">
        <f t="shared" si="299"/>
        <v>0</v>
      </c>
      <c r="K789" s="67">
        <f t="shared" si="299"/>
        <v>0</v>
      </c>
      <c r="L789" s="67">
        <f t="shared" si="299"/>
        <v>0</v>
      </c>
      <c r="M789" s="67">
        <f t="shared" si="299"/>
        <v>6.1864248503616155</v>
      </c>
      <c r="N789" s="67">
        <f t="shared" si="299"/>
        <v>5.6204347810010633</v>
      </c>
      <c r="O789" s="67">
        <f t="shared" si="299"/>
        <v>5.2238287569560544</v>
      </c>
      <c r="P789" s="67">
        <f t="shared" si="299"/>
        <v>5.0381669661539661</v>
      </c>
    </row>
    <row r="790" spans="2:16" ht="13" hidden="1" outlineLevel="1" x14ac:dyDescent="0.3">
      <c r="B790" s="14"/>
      <c r="C790" s="13" t="s">
        <v>432</v>
      </c>
      <c r="D790" s="12" t="s">
        <v>41</v>
      </c>
      <c r="E790" s="12" t="s">
        <v>56</v>
      </c>
      <c r="F790" s="69">
        <v>1388.3827338644523</v>
      </c>
      <c r="G790" s="14"/>
      <c r="H790" s="67">
        <f t="shared" ref="H790:P790" si="300">+H611/H$696</f>
        <v>0</v>
      </c>
      <c r="I790" s="67">
        <f t="shared" si="300"/>
        <v>0</v>
      </c>
      <c r="J790" s="67">
        <f t="shared" si="300"/>
        <v>0</v>
      </c>
      <c r="K790" s="67">
        <f t="shared" si="300"/>
        <v>0</v>
      </c>
      <c r="L790" s="67">
        <f t="shared" si="300"/>
        <v>0</v>
      </c>
      <c r="M790" s="67">
        <f t="shared" si="300"/>
        <v>4.1995304576577706</v>
      </c>
      <c r="N790" s="67">
        <f t="shared" si="300"/>
        <v>3.8153194484716595</v>
      </c>
      <c r="O790" s="67">
        <f t="shared" si="300"/>
        <v>3.546091401909321</v>
      </c>
      <c r="P790" s="67">
        <f t="shared" si="300"/>
        <v>3.420058618168146</v>
      </c>
    </row>
    <row r="791" spans="2:16" ht="13" hidden="1" outlineLevel="1" x14ac:dyDescent="0.3">
      <c r="B791" s="14"/>
      <c r="C791" s="13" t="s">
        <v>433</v>
      </c>
      <c r="D791" s="12" t="s">
        <v>41</v>
      </c>
      <c r="E791" s="12" t="s">
        <v>56</v>
      </c>
      <c r="F791" s="69">
        <v>203.02120679982048</v>
      </c>
      <c r="G791" s="14"/>
      <c r="H791" s="67">
        <f t="shared" ref="H791:P791" si="301">+H612/H$696</f>
        <v>0</v>
      </c>
      <c r="I791" s="67">
        <f t="shared" si="301"/>
        <v>0</v>
      </c>
      <c r="J791" s="67">
        <f t="shared" si="301"/>
        <v>0</v>
      </c>
      <c r="K791" s="67">
        <f t="shared" si="301"/>
        <v>0</v>
      </c>
      <c r="L791" s="67">
        <f t="shared" si="301"/>
        <v>0</v>
      </c>
      <c r="M791" s="67">
        <f t="shared" si="301"/>
        <v>0.61409128816602054</v>
      </c>
      <c r="N791" s="67">
        <f t="shared" si="301"/>
        <v>0.55790866586155974</v>
      </c>
      <c r="O791" s="67">
        <f t="shared" si="301"/>
        <v>0.51853983651483837</v>
      </c>
      <c r="P791" s="67">
        <f t="shared" si="301"/>
        <v>0.50011024413561467</v>
      </c>
    </row>
    <row r="792" spans="2:16" ht="13" hidden="1" outlineLevel="1" x14ac:dyDescent="0.3">
      <c r="B792" s="14"/>
      <c r="C792" s="13" t="s">
        <v>434</v>
      </c>
      <c r="D792" s="12" t="s">
        <v>41</v>
      </c>
      <c r="E792" s="12" t="s">
        <v>56</v>
      </c>
      <c r="F792" s="69">
        <v>3113.5869509986537</v>
      </c>
      <c r="G792" s="14"/>
      <c r="H792" s="67">
        <f t="shared" ref="H792:P792" si="302">+H613/H$696</f>
        <v>0</v>
      </c>
      <c r="I792" s="67">
        <f t="shared" si="302"/>
        <v>0</v>
      </c>
      <c r="J792" s="67">
        <f t="shared" si="302"/>
        <v>0</v>
      </c>
      <c r="K792" s="67">
        <f t="shared" si="302"/>
        <v>0</v>
      </c>
      <c r="L792" s="67">
        <f t="shared" si="302"/>
        <v>0</v>
      </c>
      <c r="M792" s="67">
        <f t="shared" si="302"/>
        <v>9.417866496286468</v>
      </c>
      <c r="N792" s="67">
        <f t="shared" si="302"/>
        <v>8.5562349335673282</v>
      </c>
      <c r="O792" s="67">
        <f t="shared" si="302"/>
        <v>7.9524641489176862</v>
      </c>
      <c r="P792" s="67">
        <f t="shared" si="302"/>
        <v>7.6698230433471037</v>
      </c>
    </row>
    <row r="793" spans="2:16" ht="13" hidden="1" outlineLevel="1" x14ac:dyDescent="0.3">
      <c r="B793" s="14"/>
      <c r="C793" s="13" t="s">
        <v>435</v>
      </c>
      <c r="D793" s="12" t="s">
        <v>41</v>
      </c>
      <c r="E793" s="12" t="s">
        <v>56</v>
      </c>
      <c r="F793" s="69">
        <v>979.83645149012523</v>
      </c>
      <c r="G793" s="14"/>
      <c r="H793" s="67">
        <f t="shared" ref="H793:P793" si="303">+H614/H$696</f>
        <v>0</v>
      </c>
      <c r="I793" s="67">
        <f t="shared" si="303"/>
        <v>0</v>
      </c>
      <c r="J793" s="67">
        <f t="shared" si="303"/>
        <v>0</v>
      </c>
      <c r="K793" s="67">
        <f t="shared" si="303"/>
        <v>0</v>
      </c>
      <c r="L793" s="67">
        <f t="shared" si="303"/>
        <v>0</v>
      </c>
      <c r="M793" s="67">
        <f t="shared" si="303"/>
        <v>2.9637742685712651</v>
      </c>
      <c r="N793" s="67">
        <f t="shared" si="303"/>
        <v>2.692621406552806</v>
      </c>
      <c r="O793" s="67">
        <f t="shared" si="303"/>
        <v>2.5026165560524007</v>
      </c>
      <c r="P793" s="67">
        <f t="shared" si="303"/>
        <v>2.4136702499796896</v>
      </c>
    </row>
    <row r="794" spans="2:16" ht="13" hidden="1" outlineLevel="1" x14ac:dyDescent="0.3">
      <c r="B794" s="14"/>
      <c r="C794" s="13" t="s">
        <v>436</v>
      </c>
      <c r="D794" s="12" t="s">
        <v>41</v>
      </c>
      <c r="E794" s="12" t="s">
        <v>56</v>
      </c>
      <c r="F794" s="69">
        <v>803.22010907540403</v>
      </c>
      <c r="G794" s="14"/>
      <c r="H794" s="67">
        <f t="shared" ref="H794:P794" si="304">+H615/H$696</f>
        <v>0</v>
      </c>
      <c r="I794" s="67">
        <f t="shared" si="304"/>
        <v>0</v>
      </c>
      <c r="J794" s="67">
        <f t="shared" si="304"/>
        <v>0</v>
      </c>
      <c r="K794" s="67">
        <f t="shared" si="304"/>
        <v>0</v>
      </c>
      <c r="L794" s="67">
        <f t="shared" si="304"/>
        <v>0</v>
      </c>
      <c r="M794" s="67">
        <f t="shared" si="304"/>
        <v>2.4295514702033709</v>
      </c>
      <c r="N794" s="67">
        <f t="shared" si="304"/>
        <v>2.2072741390473869</v>
      </c>
      <c r="O794" s="67">
        <f t="shared" si="304"/>
        <v>2.0515178222542167</v>
      </c>
      <c r="P794" s="67">
        <f t="shared" si="304"/>
        <v>1.9786041624726003</v>
      </c>
    </row>
    <row r="795" spans="2:16" ht="13" hidden="1" outlineLevel="1" x14ac:dyDescent="0.3">
      <c r="B795" s="14"/>
      <c r="C795" s="13" t="s">
        <v>437</v>
      </c>
      <c r="D795" s="12" t="s">
        <v>41</v>
      </c>
      <c r="E795" s="12" t="s">
        <v>56</v>
      </c>
      <c r="F795" s="69">
        <v>478.9812665686714</v>
      </c>
      <c r="G795" s="14"/>
      <c r="H795" s="67">
        <f t="shared" ref="H795:P795" si="305">+H616/H$696</f>
        <v>0</v>
      </c>
      <c r="I795" s="67">
        <f t="shared" si="305"/>
        <v>0</v>
      </c>
      <c r="J795" s="67">
        <f t="shared" si="305"/>
        <v>0</v>
      </c>
      <c r="K795" s="67">
        <f t="shared" si="305"/>
        <v>0</v>
      </c>
      <c r="L795" s="67">
        <f t="shared" si="305"/>
        <v>0</v>
      </c>
      <c r="M795" s="67">
        <f t="shared" si="305"/>
        <v>1.4488054111734678</v>
      </c>
      <c r="N795" s="67">
        <f t="shared" si="305"/>
        <v>1.3162555952467323</v>
      </c>
      <c r="O795" s="67">
        <f t="shared" si="305"/>
        <v>1.2233740089284542</v>
      </c>
      <c r="P795" s="67">
        <f t="shared" si="305"/>
        <v>1.1798936768031074</v>
      </c>
    </row>
    <row r="796" spans="2:16" ht="13" hidden="1" outlineLevel="1" x14ac:dyDescent="0.3">
      <c r="B796" s="14"/>
      <c r="C796" s="13" t="s">
        <v>438</v>
      </c>
      <c r="D796" s="12" t="s">
        <v>41</v>
      </c>
      <c r="E796" s="12" t="s">
        <v>56</v>
      </c>
      <c r="F796" s="69">
        <v>4966.8622876997315</v>
      </c>
      <c r="G796" s="14"/>
      <c r="H796" s="67">
        <f t="shared" ref="H796:P796" si="306">+H617/H$696</f>
        <v>0</v>
      </c>
      <c r="I796" s="67">
        <f t="shared" si="306"/>
        <v>0</v>
      </c>
      <c r="J796" s="67">
        <f t="shared" si="306"/>
        <v>0</v>
      </c>
      <c r="K796" s="67">
        <f t="shared" si="306"/>
        <v>0</v>
      </c>
      <c r="L796" s="67">
        <f t="shared" si="306"/>
        <v>0</v>
      </c>
      <c r="M796" s="67">
        <f t="shared" si="306"/>
        <v>15.023587478741423</v>
      </c>
      <c r="N796" s="67">
        <f t="shared" si="306"/>
        <v>13.649093885945231</v>
      </c>
      <c r="O796" s="67">
        <f t="shared" si="306"/>
        <v>12.685945469701604</v>
      </c>
      <c r="P796" s="67">
        <f t="shared" si="306"/>
        <v>12.235070170470916</v>
      </c>
    </row>
    <row r="797" spans="2:16" ht="13" hidden="1" outlineLevel="1" x14ac:dyDescent="0.3">
      <c r="B797" s="14"/>
      <c r="C797" s="13" t="s">
        <v>439</v>
      </c>
      <c r="D797" s="12" t="s">
        <v>41</v>
      </c>
      <c r="E797" s="12" t="s">
        <v>56</v>
      </c>
      <c r="F797" s="69">
        <v>39.419771095152605</v>
      </c>
      <c r="G797" s="14"/>
      <c r="H797" s="67">
        <f t="shared" ref="H797:P797" si="307">+H618/H$696</f>
        <v>0</v>
      </c>
      <c r="I797" s="67">
        <f t="shared" si="307"/>
        <v>0</v>
      </c>
      <c r="J797" s="67">
        <f t="shared" si="307"/>
        <v>0</v>
      </c>
      <c r="K797" s="67">
        <f t="shared" si="307"/>
        <v>0</v>
      </c>
      <c r="L797" s="67">
        <f t="shared" si="307"/>
        <v>0</v>
      </c>
      <c r="M797" s="67">
        <f t="shared" si="307"/>
        <v>0.11923551432191237</v>
      </c>
      <c r="N797" s="67">
        <f t="shared" si="307"/>
        <v>0.10832677160642371</v>
      </c>
      <c r="O797" s="67">
        <f t="shared" si="307"/>
        <v>0.10068269212529801</v>
      </c>
      <c r="P797" s="67">
        <f t="shared" si="307"/>
        <v>9.7104295934981363E-2</v>
      </c>
    </row>
    <row r="798" spans="2:16" ht="13" hidden="1" outlineLevel="1" x14ac:dyDescent="0.3">
      <c r="B798" s="14"/>
      <c r="C798" s="13" t="s">
        <v>440</v>
      </c>
      <c r="D798" s="12" t="s">
        <v>41</v>
      </c>
      <c r="E798" s="12" t="s">
        <v>56</v>
      </c>
      <c r="F798" s="69">
        <v>229.04137176166967</v>
      </c>
      <c r="G798" s="14"/>
      <c r="H798" s="67">
        <f t="shared" ref="H798:P798" si="308">+H619/H$696</f>
        <v>0</v>
      </c>
      <c r="I798" s="67">
        <f t="shared" si="308"/>
        <v>0</v>
      </c>
      <c r="J798" s="67">
        <f t="shared" si="308"/>
        <v>0</v>
      </c>
      <c r="K798" s="67">
        <f t="shared" si="308"/>
        <v>0</v>
      </c>
      <c r="L798" s="67">
        <f t="shared" si="308"/>
        <v>0</v>
      </c>
      <c r="M798" s="67">
        <f t="shared" si="308"/>
        <v>0.69279615290199581</v>
      </c>
      <c r="N798" s="67">
        <f t="shared" si="308"/>
        <v>0.62941289809517409</v>
      </c>
      <c r="O798" s="67">
        <f t="shared" si="308"/>
        <v>0.5849983720446269</v>
      </c>
      <c r="P798" s="67">
        <f t="shared" si="308"/>
        <v>0.56420675531609521</v>
      </c>
    </row>
    <row r="799" spans="2:16" ht="13" hidden="1" outlineLevel="1" x14ac:dyDescent="0.3">
      <c r="B799" s="14"/>
      <c r="C799" s="13" t="s">
        <v>441</v>
      </c>
      <c r="D799" s="12" t="s">
        <v>41</v>
      </c>
      <c r="E799" s="12" t="s">
        <v>56</v>
      </c>
      <c r="F799" s="69">
        <v>1498.5811169299818</v>
      </c>
      <c r="G799" s="14"/>
      <c r="H799" s="67">
        <f t="shared" ref="H799:P799" si="309">+H620/H$696</f>
        <v>0</v>
      </c>
      <c r="I799" s="67">
        <f t="shared" si="309"/>
        <v>0</v>
      </c>
      <c r="J799" s="67">
        <f t="shared" si="309"/>
        <v>0</v>
      </c>
      <c r="K799" s="67">
        <f t="shared" si="309"/>
        <v>0</v>
      </c>
      <c r="L799" s="67">
        <f t="shared" si="309"/>
        <v>0</v>
      </c>
      <c r="M799" s="67">
        <f t="shared" si="309"/>
        <v>4.5328545870786359</v>
      </c>
      <c r="N799" s="67">
        <f t="shared" si="309"/>
        <v>4.1181480733493094</v>
      </c>
      <c r="O799" s="67">
        <f t="shared" si="309"/>
        <v>3.8275509225166515</v>
      </c>
      <c r="P799" s="67">
        <f t="shared" si="309"/>
        <v>3.6915146947374864</v>
      </c>
    </row>
    <row r="800" spans="2:16" ht="13" hidden="1" outlineLevel="1" x14ac:dyDescent="0.3">
      <c r="B800" s="14"/>
      <c r="C800" s="13" t="s">
        <v>442</v>
      </c>
      <c r="D800" s="12" t="s">
        <v>41</v>
      </c>
      <c r="E800" s="12" t="s">
        <v>56</v>
      </c>
      <c r="F800" s="69">
        <v>11660.424040765261</v>
      </c>
      <c r="G800" s="14"/>
      <c r="H800" s="67">
        <f t="shared" ref="H800:P800" si="310">+H621/H$696</f>
        <v>0</v>
      </c>
      <c r="I800" s="67">
        <f t="shared" si="310"/>
        <v>0</v>
      </c>
      <c r="J800" s="67">
        <f t="shared" si="310"/>
        <v>0</v>
      </c>
      <c r="K800" s="67">
        <f t="shared" si="310"/>
        <v>0</v>
      </c>
      <c r="L800" s="67">
        <f t="shared" si="310"/>
        <v>0</v>
      </c>
      <c r="M800" s="67">
        <f t="shared" si="310"/>
        <v>35.27003376950622</v>
      </c>
      <c r="N800" s="67">
        <f t="shared" si="310"/>
        <v>32.043212246185689</v>
      </c>
      <c r="O800" s="67">
        <f t="shared" si="310"/>
        <v>29.782082724756304</v>
      </c>
      <c r="P800" s="67">
        <f t="shared" si="310"/>
        <v>28.723588070786025</v>
      </c>
    </row>
    <row r="801" spans="2:16" ht="13" hidden="1" outlineLevel="1" x14ac:dyDescent="0.3">
      <c r="B801" s="14"/>
      <c r="C801" s="13" t="s">
        <v>443</v>
      </c>
      <c r="D801" s="12" t="s">
        <v>41</v>
      </c>
      <c r="E801" s="12" t="s">
        <v>56</v>
      </c>
      <c r="F801" s="69">
        <v>118.72283335500281</v>
      </c>
      <c r="G801" s="14"/>
      <c r="H801" s="67">
        <f t="shared" ref="H801:P801" si="311">+H622/H$696</f>
        <v>0</v>
      </c>
      <c r="I801" s="67">
        <f t="shared" si="311"/>
        <v>0</v>
      </c>
      <c r="J801" s="67">
        <f t="shared" si="311"/>
        <v>0</v>
      </c>
      <c r="K801" s="67">
        <f t="shared" si="311"/>
        <v>0</v>
      </c>
      <c r="L801" s="67">
        <f t="shared" si="311"/>
        <v>0</v>
      </c>
      <c r="M801" s="67">
        <f t="shared" si="311"/>
        <v>0</v>
      </c>
      <c r="N801" s="67">
        <f t="shared" si="311"/>
        <v>0.44472259015818427</v>
      </c>
      <c r="O801" s="67">
        <f t="shared" si="311"/>
        <v>0.41332742363677877</v>
      </c>
      <c r="P801" s="67">
        <f t="shared" si="311"/>
        <v>0.39862318030518168</v>
      </c>
    </row>
    <row r="802" spans="2:16" ht="13" hidden="1" outlineLevel="1" x14ac:dyDescent="0.3">
      <c r="B802" s="14"/>
      <c r="C802" s="13" t="s">
        <v>444</v>
      </c>
      <c r="D802" s="12" t="s">
        <v>41</v>
      </c>
      <c r="E802" s="12" t="s">
        <v>56</v>
      </c>
      <c r="F802" s="69">
        <v>955.09648463276835</v>
      </c>
      <c r="G802" s="14"/>
      <c r="H802" s="67">
        <f t="shared" ref="H802:P802" si="312">+H623/H$696</f>
        <v>0</v>
      </c>
      <c r="I802" s="67">
        <f t="shared" si="312"/>
        <v>0</v>
      </c>
      <c r="J802" s="67">
        <f t="shared" si="312"/>
        <v>0</v>
      </c>
      <c r="K802" s="67">
        <f t="shared" si="312"/>
        <v>0</v>
      </c>
      <c r="L802" s="67">
        <f t="shared" si="312"/>
        <v>0</v>
      </c>
      <c r="M802" s="67">
        <f t="shared" si="312"/>
        <v>0</v>
      </c>
      <c r="N802" s="67">
        <f t="shared" si="312"/>
        <v>3.5775922470256298</v>
      </c>
      <c r="O802" s="67">
        <f t="shared" si="312"/>
        <v>3.3251191717887973</v>
      </c>
      <c r="P802" s="67">
        <f t="shared" si="312"/>
        <v>3.2069186790229391</v>
      </c>
    </row>
    <row r="803" spans="2:16" ht="13" hidden="1" outlineLevel="1" x14ac:dyDescent="0.3">
      <c r="B803" s="14"/>
      <c r="C803" s="13" t="s">
        <v>445</v>
      </c>
      <c r="D803" s="12" t="s">
        <v>41</v>
      </c>
      <c r="E803" s="12" t="s">
        <v>56</v>
      </c>
      <c r="F803" s="69">
        <v>464.63238286830847</v>
      </c>
      <c r="G803" s="14"/>
      <c r="H803" s="67">
        <f t="shared" ref="H803:P803" si="313">+H624/H$696</f>
        <v>0</v>
      </c>
      <c r="I803" s="67">
        <f t="shared" si="313"/>
        <v>0</v>
      </c>
      <c r="J803" s="67">
        <f t="shared" si="313"/>
        <v>0</v>
      </c>
      <c r="K803" s="67">
        <f t="shared" si="313"/>
        <v>0</v>
      </c>
      <c r="L803" s="67">
        <f t="shared" si="313"/>
        <v>0</v>
      </c>
      <c r="M803" s="67">
        <f t="shared" si="313"/>
        <v>0</v>
      </c>
      <c r="N803" s="67">
        <f t="shared" si="313"/>
        <v>0</v>
      </c>
      <c r="O803" s="67">
        <f t="shared" si="313"/>
        <v>2.4816533382158998</v>
      </c>
      <c r="P803" s="67">
        <f t="shared" si="313"/>
        <v>2.3936350505268056</v>
      </c>
    </row>
    <row r="804" spans="2:16" ht="13" hidden="1" outlineLevel="1" x14ac:dyDescent="0.3">
      <c r="B804" s="14"/>
      <c r="C804" s="13" t="s">
        <v>446</v>
      </c>
      <c r="D804" s="12" t="s">
        <v>41</v>
      </c>
      <c r="E804" s="12" t="s">
        <v>56</v>
      </c>
      <c r="F804" s="69">
        <v>70.217035375706232</v>
      </c>
      <c r="G804" s="14"/>
      <c r="H804" s="67">
        <f t="shared" ref="H804:P804" si="314">+H625/H$696</f>
        <v>0</v>
      </c>
      <c r="I804" s="67">
        <f t="shared" si="314"/>
        <v>0</v>
      </c>
      <c r="J804" s="67">
        <f t="shared" si="314"/>
        <v>0</v>
      </c>
      <c r="K804" s="67">
        <f t="shared" si="314"/>
        <v>0</v>
      </c>
      <c r="L804" s="67">
        <f t="shared" si="314"/>
        <v>0</v>
      </c>
      <c r="M804" s="67">
        <f t="shared" si="314"/>
        <v>0</v>
      </c>
      <c r="N804" s="67">
        <f t="shared" si="314"/>
        <v>0.26301837082547708</v>
      </c>
      <c r="O804" s="67">
        <f t="shared" si="314"/>
        <v>0.24445698866089469</v>
      </c>
      <c r="P804" s="67">
        <f t="shared" si="314"/>
        <v>0.23576709364452111</v>
      </c>
    </row>
    <row r="805" spans="2:16" ht="13" hidden="1" outlineLevel="1" x14ac:dyDescent="0.3">
      <c r="B805" s="14"/>
      <c r="C805" s="13" t="s">
        <v>447</v>
      </c>
      <c r="D805" s="12" t="s">
        <v>41</v>
      </c>
      <c r="E805" s="12" t="s">
        <v>56</v>
      </c>
      <c r="F805" s="69">
        <v>2432.1708737090394</v>
      </c>
      <c r="G805" s="14"/>
      <c r="H805" s="67">
        <f t="shared" ref="H805:P805" si="315">+H626/H$696</f>
        <v>0</v>
      </c>
      <c r="I805" s="67">
        <f t="shared" si="315"/>
        <v>0</v>
      </c>
      <c r="J805" s="67">
        <f t="shared" si="315"/>
        <v>0</v>
      </c>
      <c r="K805" s="67">
        <f t="shared" si="315"/>
        <v>0</v>
      </c>
      <c r="L805" s="67">
        <f t="shared" si="315"/>
        <v>0</v>
      </c>
      <c r="M805" s="67">
        <f t="shared" si="315"/>
        <v>0</v>
      </c>
      <c r="N805" s="67">
        <f t="shared" si="315"/>
        <v>9.1104048661310291</v>
      </c>
      <c r="O805" s="67">
        <f t="shared" si="315"/>
        <v>8.4674775076214033</v>
      </c>
      <c r="P805" s="67">
        <f t="shared" si="315"/>
        <v>8.1664777653035241</v>
      </c>
    </row>
    <row r="806" spans="2:16" ht="13" hidden="1" outlineLevel="1" x14ac:dyDescent="0.3">
      <c r="B806" s="14"/>
      <c r="C806" s="13" t="s">
        <v>448</v>
      </c>
      <c r="D806" s="12" t="s">
        <v>41</v>
      </c>
      <c r="E806" s="12" t="s">
        <v>56</v>
      </c>
      <c r="F806" s="69">
        <v>144.36466998587571</v>
      </c>
      <c r="G806" s="14"/>
      <c r="H806" s="67">
        <f t="shared" ref="H806:P806" si="316">+H627/H$696</f>
        <v>0</v>
      </c>
      <c r="I806" s="67">
        <f t="shared" si="316"/>
        <v>0</v>
      </c>
      <c r="J806" s="67">
        <f t="shared" si="316"/>
        <v>0</v>
      </c>
      <c r="K806" s="67">
        <f t="shared" si="316"/>
        <v>0</v>
      </c>
      <c r="L806" s="67">
        <f t="shared" si="316"/>
        <v>0</v>
      </c>
      <c r="M806" s="67">
        <f t="shared" si="316"/>
        <v>0</v>
      </c>
      <c r="N806" s="67">
        <f t="shared" si="316"/>
        <v>0.54075994666074678</v>
      </c>
      <c r="O806" s="67">
        <f t="shared" si="316"/>
        <v>0.50259815591674806</v>
      </c>
      <c r="P806" s="67">
        <f t="shared" si="316"/>
        <v>0.48473192417486072</v>
      </c>
    </row>
    <row r="807" spans="2:16" ht="13" hidden="1" outlineLevel="1" x14ac:dyDescent="0.3">
      <c r="B807" s="14"/>
      <c r="C807" s="13" t="s">
        <v>449</v>
      </c>
      <c r="D807" s="12" t="s">
        <v>41</v>
      </c>
      <c r="E807" s="12" t="s">
        <v>56</v>
      </c>
      <c r="F807" s="69">
        <v>1162.0825219632768</v>
      </c>
      <c r="G807" s="14"/>
      <c r="H807" s="67">
        <f t="shared" ref="H807:P807" si="317">+H628/H$696</f>
        <v>0</v>
      </c>
      <c r="I807" s="67">
        <f t="shared" si="317"/>
        <v>0</v>
      </c>
      <c r="J807" s="67">
        <f t="shared" si="317"/>
        <v>0</v>
      </c>
      <c r="K807" s="67">
        <f t="shared" si="317"/>
        <v>0</v>
      </c>
      <c r="L807" s="67">
        <f t="shared" si="317"/>
        <v>0</v>
      </c>
      <c r="M807" s="67">
        <f t="shared" si="317"/>
        <v>0</v>
      </c>
      <c r="N807" s="67">
        <f t="shared" si="317"/>
        <v>4.3529187761363612</v>
      </c>
      <c r="O807" s="67">
        <f t="shared" si="317"/>
        <v>4.0457303897066366</v>
      </c>
      <c r="P807" s="67">
        <f t="shared" si="317"/>
        <v>3.9019137921788332</v>
      </c>
    </row>
    <row r="808" spans="2:16" ht="13" hidden="1" outlineLevel="1" x14ac:dyDescent="0.3">
      <c r="B808" s="14"/>
      <c r="C808" s="13" t="s">
        <v>450</v>
      </c>
      <c r="D808" s="12" t="s">
        <v>41</v>
      </c>
      <c r="E808" s="12" t="s">
        <v>56</v>
      </c>
      <c r="F808" s="69">
        <v>810.90804920903952</v>
      </c>
      <c r="G808" s="14"/>
      <c r="H808" s="67">
        <f t="shared" ref="H808:P808" si="318">+H629/H$696</f>
        <v>0</v>
      </c>
      <c r="I808" s="67">
        <f t="shared" si="318"/>
        <v>0</v>
      </c>
      <c r="J808" s="67">
        <f t="shared" si="318"/>
        <v>0</v>
      </c>
      <c r="K808" s="67">
        <f t="shared" si="318"/>
        <v>0</v>
      </c>
      <c r="L808" s="67">
        <f t="shared" si="318"/>
        <v>0</v>
      </c>
      <c r="M808" s="67">
        <f t="shared" si="318"/>
        <v>0</v>
      </c>
      <c r="N808" s="67">
        <f t="shared" si="318"/>
        <v>3.0374924382811455</v>
      </c>
      <c r="O808" s="67">
        <f t="shared" si="318"/>
        <v>2.823134567414491</v>
      </c>
      <c r="P808" s="67">
        <f t="shared" si="318"/>
        <v>2.722778496015942</v>
      </c>
    </row>
    <row r="809" spans="2:16" ht="13" hidden="1" outlineLevel="1" x14ac:dyDescent="0.3">
      <c r="B809" s="14"/>
      <c r="C809" s="13" t="s">
        <v>370</v>
      </c>
      <c r="D809" s="12" t="s">
        <v>41</v>
      </c>
      <c r="E809" s="12" t="s">
        <v>56</v>
      </c>
      <c r="F809" s="69">
        <v>2155.3478897156724</v>
      </c>
      <c r="G809" s="14"/>
      <c r="H809" s="67">
        <f t="shared" ref="H809:P809" si="319">+H630/H$696</f>
        <v>0</v>
      </c>
      <c r="I809" s="67">
        <f t="shared" si="319"/>
        <v>0</v>
      </c>
      <c r="J809" s="67">
        <f t="shared" si="319"/>
        <v>0</v>
      </c>
      <c r="K809" s="67">
        <f t="shared" si="319"/>
        <v>0</v>
      </c>
      <c r="L809" s="67">
        <f t="shared" si="319"/>
        <v>0</v>
      </c>
      <c r="M809" s="67">
        <f t="shared" si="319"/>
        <v>0</v>
      </c>
      <c r="N809" s="67">
        <f t="shared" si="319"/>
        <v>8.0728560998729328</v>
      </c>
      <c r="O809" s="67">
        <f t="shared" si="319"/>
        <v>7.5037325603011906</v>
      </c>
      <c r="P809" s="67">
        <f t="shared" si="319"/>
        <v>7.2376068973030234</v>
      </c>
    </row>
    <row r="810" spans="2:16" ht="13" hidden="1" outlineLevel="1" x14ac:dyDescent="0.3">
      <c r="B810" s="14"/>
      <c r="C810" s="13" t="s">
        <v>464</v>
      </c>
      <c r="D810" s="12" t="s">
        <v>41</v>
      </c>
      <c r="E810" s="12" t="s">
        <v>56</v>
      </c>
      <c r="F810" s="69">
        <v>518.15293078571426</v>
      </c>
      <c r="G810" s="14"/>
      <c r="H810" s="67">
        <f t="shared" ref="H810:P810" si="320">+H631/H$696</f>
        <v>0</v>
      </c>
      <c r="I810" s="67">
        <f t="shared" si="320"/>
        <v>0</v>
      </c>
      <c r="J810" s="67">
        <f t="shared" si="320"/>
        <v>0</v>
      </c>
      <c r="K810" s="67">
        <f t="shared" si="320"/>
        <v>0</v>
      </c>
      <c r="L810" s="67">
        <f t="shared" si="320"/>
        <v>0</v>
      </c>
      <c r="M810" s="67">
        <f t="shared" si="320"/>
        <v>1.9450221180662404</v>
      </c>
      <c r="N810" s="67">
        <f t="shared" si="320"/>
        <v>1.5375803404530755</v>
      </c>
      <c r="O810" s="67">
        <f t="shared" si="320"/>
        <v>1.1967509961603171</v>
      </c>
      <c r="P810" s="67">
        <f t="shared" si="320"/>
        <v>0.94212964713535452</v>
      </c>
    </row>
    <row r="811" spans="2:16" ht="13" hidden="1" outlineLevel="1" x14ac:dyDescent="0.3">
      <c r="B811" s="14"/>
      <c r="C811" s="13" t="s">
        <v>465</v>
      </c>
      <c r="D811" s="12" t="s">
        <v>41</v>
      </c>
      <c r="E811" s="12" t="s">
        <v>56</v>
      </c>
      <c r="F811" s="69">
        <v>658.52073514285507</v>
      </c>
      <c r="G811" s="14"/>
      <c r="H811" s="67">
        <f t="shared" ref="H811:P811" si="321">+H632/H$696</f>
        <v>0</v>
      </c>
      <c r="I811" s="67">
        <f t="shared" si="321"/>
        <v>0</v>
      </c>
      <c r="J811" s="67">
        <f t="shared" si="321"/>
        <v>0</v>
      </c>
      <c r="K811" s="67">
        <f t="shared" si="321"/>
        <v>0</v>
      </c>
      <c r="L811" s="67">
        <f t="shared" si="321"/>
        <v>0</v>
      </c>
      <c r="M811" s="67">
        <f t="shared" si="321"/>
        <v>2.2982127562743493</v>
      </c>
      <c r="N811" s="67">
        <f t="shared" si="321"/>
        <v>1.9063694585891642</v>
      </c>
      <c r="O811" s="67">
        <f t="shared" si="321"/>
        <v>1.5880202178632787</v>
      </c>
      <c r="P811" s="67">
        <f t="shared" si="321"/>
        <v>1.3377303345107661</v>
      </c>
    </row>
    <row r="812" spans="2:16" ht="13" collapsed="1" x14ac:dyDescent="0.3">
      <c r="B812" s="14"/>
      <c r="C812" s="13"/>
      <c r="D812" s="13"/>
      <c r="E812" s="12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2:16" ht="13" x14ac:dyDescent="0.3">
      <c r="B813" s="14" t="s">
        <v>374</v>
      </c>
      <c r="C813" s="13"/>
      <c r="D813" s="13"/>
      <c r="E813" s="12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2:16" ht="13" hidden="1" outlineLevel="1" x14ac:dyDescent="0.3">
      <c r="B814" s="14"/>
      <c r="C814" s="13" t="s">
        <v>375</v>
      </c>
      <c r="D814" s="12" t="s">
        <v>41</v>
      </c>
      <c r="E814" s="12" t="s">
        <v>56</v>
      </c>
      <c r="F814" s="69">
        <v>110833.04787733335</v>
      </c>
      <c r="G814" s="14"/>
      <c r="H814" s="67">
        <f>+H635/H$697</f>
        <v>0</v>
      </c>
      <c r="I814" s="67">
        <f t="shared" ref="I814:P814" si="322">+I635/I$697</f>
        <v>0</v>
      </c>
      <c r="J814" s="67">
        <f t="shared" si="322"/>
        <v>98.671160030801843</v>
      </c>
      <c r="K814" s="67">
        <f t="shared" si="322"/>
        <v>199.62763987401257</v>
      </c>
      <c r="L814" s="67">
        <f t="shared" si="322"/>
        <v>191.70765809133249</v>
      </c>
      <c r="M814" s="67">
        <f t="shared" si="322"/>
        <v>179.21634082991687</v>
      </c>
      <c r="N814" s="67">
        <f t="shared" si="322"/>
        <v>162.46479250491709</v>
      </c>
      <c r="O814" s="67">
        <f t="shared" si="322"/>
        <v>148.01209223561511</v>
      </c>
      <c r="P814" s="67">
        <f t="shared" si="322"/>
        <v>133.0761244576735</v>
      </c>
    </row>
    <row r="815" spans="2:16" ht="13" hidden="1" outlineLevel="1" x14ac:dyDescent="0.3">
      <c r="B815" s="14"/>
      <c r="C815" s="13" t="s">
        <v>376</v>
      </c>
      <c r="D815" s="12" t="s">
        <v>41</v>
      </c>
      <c r="E815" s="12" t="s">
        <v>56</v>
      </c>
      <c r="F815" s="69">
        <v>2086.1566809999999</v>
      </c>
      <c r="G815" s="14"/>
      <c r="H815" s="67">
        <f t="shared" ref="H815:P815" si="323">+H636/H$697</f>
        <v>0</v>
      </c>
      <c r="I815" s="67">
        <f t="shared" si="323"/>
        <v>0</v>
      </c>
      <c r="J815" s="67">
        <f t="shared" si="323"/>
        <v>4.3022116085914099</v>
      </c>
      <c r="K815" s="67">
        <f t="shared" si="323"/>
        <v>3.8532124627252307</v>
      </c>
      <c r="L815" s="67">
        <f t="shared" si="323"/>
        <v>3.4983082697310683</v>
      </c>
      <c r="M815" s="67">
        <f t="shared" si="323"/>
        <v>3.0498430227266384</v>
      </c>
      <c r="N815" s="67">
        <f t="shared" si="323"/>
        <v>2.5282933577422915</v>
      </c>
      <c r="O815" s="67">
        <f t="shared" si="323"/>
        <v>2.0445620650408824</v>
      </c>
      <c r="P815" s="67">
        <f t="shared" si="323"/>
        <v>1.5534493137002041</v>
      </c>
    </row>
    <row r="816" spans="2:16" ht="13" hidden="1" outlineLevel="1" x14ac:dyDescent="0.3">
      <c r="B816" s="14"/>
      <c r="C816" s="13" t="s">
        <v>377</v>
      </c>
      <c r="D816" s="12" t="s">
        <v>41</v>
      </c>
      <c r="E816" s="12" t="s">
        <v>56</v>
      </c>
      <c r="F816" s="69">
        <v>12751.887273416665</v>
      </c>
      <c r="G816" s="14"/>
      <c r="H816" s="67">
        <f t="shared" ref="H816:P816" si="324">+H637/H$697</f>
        <v>0</v>
      </c>
      <c r="I816" s="67">
        <f t="shared" si="324"/>
        <v>0</v>
      </c>
      <c r="J816" s="67">
        <f t="shared" si="324"/>
        <v>26.056077651432322</v>
      </c>
      <c r="K816" s="67">
        <f t="shared" si="324"/>
        <v>23.391232658361968</v>
      </c>
      <c r="L816" s="67">
        <f t="shared" si="324"/>
        <v>21.300036123553522</v>
      </c>
      <c r="M816" s="67">
        <f t="shared" si="324"/>
        <v>18.642537629907984</v>
      </c>
      <c r="N816" s="67">
        <f t="shared" si="324"/>
        <v>15.538509620966861</v>
      </c>
      <c r="O816" s="67">
        <f t="shared" si="324"/>
        <v>12.666113788578089</v>
      </c>
      <c r="P816" s="67">
        <f t="shared" si="324"/>
        <v>9.7482985496609427</v>
      </c>
    </row>
    <row r="817" spans="2:16" ht="13" hidden="1" outlineLevel="1" x14ac:dyDescent="0.3">
      <c r="B817" s="14"/>
      <c r="C817" s="13" t="s">
        <v>378</v>
      </c>
      <c r="D817" s="12" t="s">
        <v>41</v>
      </c>
      <c r="E817" s="12" t="s">
        <v>56</v>
      </c>
      <c r="F817" s="69">
        <v>1393.2462171428572</v>
      </c>
      <c r="G817" s="14"/>
      <c r="H817" s="67">
        <f t="shared" ref="H817:P817" si="325">+H638/H$697</f>
        <v>0</v>
      </c>
      <c r="I817" s="67">
        <f t="shared" si="325"/>
        <v>0</v>
      </c>
      <c r="J817" s="67">
        <f t="shared" si="325"/>
        <v>0</v>
      </c>
      <c r="K817" s="67">
        <f t="shared" si="325"/>
        <v>3.683915880006313</v>
      </c>
      <c r="L817" s="67">
        <f t="shared" si="325"/>
        <v>3.2249410656717417</v>
      </c>
      <c r="M817" s="67">
        <f t="shared" si="325"/>
        <v>2.6733618618169945</v>
      </c>
      <c r="N817" s="67">
        <f t="shared" si="325"/>
        <v>2.0573268122714956</v>
      </c>
      <c r="O817" s="67">
        <f t="shared" si="325"/>
        <v>1.4735666043466267</v>
      </c>
      <c r="P817" s="67">
        <f t="shared" si="325"/>
        <v>0.88390220550908594</v>
      </c>
    </row>
    <row r="818" spans="2:16" ht="13" hidden="1" outlineLevel="1" x14ac:dyDescent="0.3">
      <c r="B818" s="14"/>
      <c r="C818" s="13" t="s">
        <v>379</v>
      </c>
      <c r="D818" s="12" t="s">
        <v>41</v>
      </c>
      <c r="E818" s="12" t="s">
        <v>56</v>
      </c>
      <c r="F818" s="69">
        <v>106.97032500000003</v>
      </c>
      <c r="G818" s="14"/>
      <c r="H818" s="67">
        <f t="shared" ref="H818:P818" si="326">+H639/H$697</f>
        <v>0</v>
      </c>
      <c r="I818" s="67">
        <f t="shared" si="326"/>
        <v>0</v>
      </c>
      <c r="J818" s="67">
        <f t="shared" si="326"/>
        <v>0</v>
      </c>
      <c r="K818" s="67">
        <f t="shared" si="326"/>
        <v>0.3607729304317972</v>
      </c>
      <c r="L818" s="67">
        <f t="shared" si="326"/>
        <v>0.2946689306277766</v>
      </c>
      <c r="M818" s="67">
        <f t="shared" si="326"/>
        <v>0.21893838714795524</v>
      </c>
      <c r="N818" s="67">
        <f t="shared" si="326"/>
        <v>0.1378533348499876</v>
      </c>
      <c r="O818" s="67">
        <f t="shared" si="326"/>
        <v>5.9242722931843433E-2</v>
      </c>
      <c r="P818" s="67">
        <f t="shared" si="326"/>
        <v>0</v>
      </c>
    </row>
    <row r="819" spans="2:16" ht="13" hidden="1" outlineLevel="1" x14ac:dyDescent="0.3">
      <c r="B819" s="14"/>
      <c r="C819" s="13" t="s">
        <v>380</v>
      </c>
      <c r="D819" s="12" t="s">
        <v>41</v>
      </c>
      <c r="E819" s="12" t="s">
        <v>56</v>
      </c>
      <c r="F819" s="69">
        <v>131.44064999999998</v>
      </c>
      <c r="G819" s="14"/>
      <c r="H819" s="67">
        <f t="shared" ref="H819:P819" si="327">+H640/H$697</f>
        <v>0</v>
      </c>
      <c r="I819" s="67">
        <f t="shared" si="327"/>
        <v>0</v>
      </c>
      <c r="J819" s="67">
        <f t="shared" si="327"/>
        <v>0</v>
      </c>
      <c r="K819" s="67">
        <f t="shared" si="327"/>
        <v>0.44330264938767078</v>
      </c>
      <c r="L819" s="67">
        <f t="shared" si="327"/>
        <v>0.36207682622745935</v>
      </c>
      <c r="M819" s="67">
        <f t="shared" si="327"/>
        <v>0.26902230984788417</v>
      </c>
      <c r="N819" s="67">
        <f t="shared" si="327"/>
        <v>0.16938839755184451</v>
      </c>
      <c r="O819" s="67">
        <f t="shared" si="327"/>
        <v>7.2794973839066038E-2</v>
      </c>
      <c r="P819" s="67">
        <f t="shared" si="327"/>
        <v>0</v>
      </c>
    </row>
    <row r="820" spans="2:16" ht="13" hidden="1" outlineLevel="1" x14ac:dyDescent="0.3">
      <c r="B820" s="14"/>
      <c r="C820" s="13" t="s">
        <v>381</v>
      </c>
      <c r="D820" s="12" t="s">
        <v>41</v>
      </c>
      <c r="E820" s="12" t="s">
        <v>56</v>
      </c>
      <c r="F820" s="69">
        <v>499.76389928571427</v>
      </c>
      <c r="G820" s="14"/>
      <c r="H820" s="67">
        <f t="shared" ref="H820:P820" si="328">+H641/H$697</f>
        <v>0</v>
      </c>
      <c r="I820" s="67">
        <f t="shared" si="328"/>
        <v>0</v>
      </c>
      <c r="J820" s="67">
        <f t="shared" si="328"/>
        <v>0</v>
      </c>
      <c r="K820" s="67">
        <f t="shared" si="328"/>
        <v>1.2915409812723262</v>
      </c>
      <c r="L820" s="67">
        <f t="shared" si="328"/>
        <v>1.138243051630061</v>
      </c>
      <c r="M820" s="67">
        <f t="shared" si="328"/>
        <v>0.95267970631169618</v>
      </c>
      <c r="N820" s="67">
        <f t="shared" si="328"/>
        <v>0.74417414921665936</v>
      </c>
      <c r="O820" s="67">
        <f t="shared" si="328"/>
        <v>0.5472307909619214</v>
      </c>
      <c r="P820" s="67">
        <f t="shared" si="328"/>
        <v>0.34814413025621399</v>
      </c>
    </row>
    <row r="821" spans="2:16" ht="13" hidden="1" outlineLevel="1" x14ac:dyDescent="0.3">
      <c r="B821" s="14"/>
      <c r="C821" s="13" t="s">
        <v>382</v>
      </c>
      <c r="D821" s="12" t="s">
        <v>41</v>
      </c>
      <c r="E821" s="12" t="s">
        <v>56</v>
      </c>
      <c r="F821" s="69">
        <v>313.79203500000006</v>
      </c>
      <c r="G821" s="14"/>
      <c r="H821" s="67">
        <f t="shared" ref="H821:P821" si="329">+H642/H$697</f>
        <v>0</v>
      </c>
      <c r="I821" s="67">
        <f t="shared" si="329"/>
        <v>0</v>
      </c>
      <c r="J821" s="67">
        <f t="shared" si="329"/>
        <v>0</v>
      </c>
      <c r="K821" s="67">
        <f t="shared" si="329"/>
        <v>0.81093346954147405</v>
      </c>
      <c r="L821" s="67">
        <f t="shared" si="329"/>
        <v>0.71468068022939046</v>
      </c>
      <c r="M821" s="67">
        <f t="shared" si="329"/>
        <v>0.59816906377994306</v>
      </c>
      <c r="N821" s="67">
        <f t="shared" si="329"/>
        <v>0.46725247864209674</v>
      </c>
      <c r="O821" s="67">
        <f t="shared" si="329"/>
        <v>0.34359557334178464</v>
      </c>
      <c r="P821" s="67">
        <f t="shared" si="329"/>
        <v>0.21859293010667699</v>
      </c>
    </row>
    <row r="822" spans="2:16" ht="13" hidden="1" outlineLevel="1" x14ac:dyDescent="0.3">
      <c r="B822" s="14"/>
      <c r="C822" s="13" t="s">
        <v>383</v>
      </c>
      <c r="D822" s="12" t="s">
        <v>41</v>
      </c>
      <c r="E822" s="12" t="s">
        <v>56</v>
      </c>
      <c r="F822" s="69">
        <v>53.310372500000021</v>
      </c>
      <c r="G822" s="14"/>
      <c r="H822" s="67">
        <f t="shared" ref="H822:P822" si="330">+H643/H$697</f>
        <v>0</v>
      </c>
      <c r="I822" s="67">
        <f t="shared" si="330"/>
        <v>0</v>
      </c>
      <c r="J822" s="67">
        <f t="shared" si="330"/>
        <v>0</v>
      </c>
      <c r="K822" s="67">
        <f t="shared" si="330"/>
        <v>0.17979696059851827</v>
      </c>
      <c r="L822" s="67">
        <f t="shared" si="330"/>
        <v>0.1468529749343421</v>
      </c>
      <c r="M822" s="67">
        <f t="shared" si="330"/>
        <v>0.10911144724863373</v>
      </c>
      <c r="N822" s="67">
        <f t="shared" si="330"/>
        <v>6.870141444573595E-2</v>
      </c>
      <c r="O822" s="67">
        <f t="shared" si="330"/>
        <v>2.9524558585858882E-2</v>
      </c>
      <c r="P822" s="67">
        <f t="shared" si="330"/>
        <v>5.4093837845956115E-17</v>
      </c>
    </row>
    <row r="823" spans="2:16" ht="13" hidden="1" outlineLevel="1" x14ac:dyDescent="0.3">
      <c r="B823" s="14"/>
      <c r="C823" s="13" t="s">
        <v>384</v>
      </c>
      <c r="D823" s="12" t="s">
        <v>41</v>
      </c>
      <c r="E823" s="12" t="s">
        <v>56</v>
      </c>
      <c r="F823" s="69">
        <v>526.42908999999986</v>
      </c>
      <c r="G823" s="14"/>
      <c r="H823" s="67">
        <f t="shared" ref="H823:P823" si="331">+H644/H$697</f>
        <v>0</v>
      </c>
      <c r="I823" s="67">
        <f t="shared" si="331"/>
        <v>0</v>
      </c>
      <c r="J823" s="67">
        <f t="shared" si="331"/>
        <v>0</v>
      </c>
      <c r="K823" s="67">
        <f t="shared" si="331"/>
        <v>1.7754584317084601</v>
      </c>
      <c r="L823" s="67">
        <f t="shared" si="331"/>
        <v>1.450143271058151</v>
      </c>
      <c r="M823" s="67">
        <f t="shared" si="331"/>
        <v>1.0774533583249908</v>
      </c>
      <c r="N823" s="67">
        <f t="shared" si="331"/>
        <v>0.67841250008863863</v>
      </c>
      <c r="O823" s="67">
        <f t="shared" si="331"/>
        <v>0.29154901344959372</v>
      </c>
      <c r="P823" s="67">
        <f t="shared" si="331"/>
        <v>0</v>
      </c>
    </row>
    <row r="824" spans="2:16" ht="13" hidden="1" outlineLevel="1" x14ac:dyDescent="0.3">
      <c r="B824" s="14"/>
      <c r="C824" s="13" t="s">
        <v>348</v>
      </c>
      <c r="D824" s="12" t="s">
        <v>41</v>
      </c>
      <c r="E824" s="12" t="s">
        <v>56</v>
      </c>
      <c r="F824" s="69">
        <v>6855.7304614285722</v>
      </c>
      <c r="G824" s="14"/>
      <c r="H824" s="67">
        <f t="shared" ref="H824:P824" si="332">+H645/H$697</f>
        <v>0</v>
      </c>
      <c r="I824" s="67">
        <f t="shared" si="332"/>
        <v>0</v>
      </c>
      <c r="J824" s="67">
        <f t="shared" si="332"/>
        <v>0</v>
      </c>
      <c r="K824" s="67">
        <f t="shared" si="332"/>
        <v>13.750467941504914</v>
      </c>
      <c r="L824" s="67">
        <f t="shared" si="332"/>
        <v>16.572217982704206</v>
      </c>
      <c r="M824" s="67">
        <f t="shared" si="332"/>
        <v>13.969854133242459</v>
      </c>
      <c r="N824" s="67">
        <f t="shared" si="332"/>
        <v>11.031365965632126</v>
      </c>
      <c r="O824" s="67">
        <f t="shared" si="332"/>
        <v>8.2630783871796645</v>
      </c>
      <c r="P824" s="67">
        <f t="shared" si="332"/>
        <v>5.462937994328577</v>
      </c>
    </row>
    <row r="825" spans="2:16" ht="13" hidden="1" outlineLevel="1" x14ac:dyDescent="0.3">
      <c r="B825" s="14"/>
      <c r="C825" s="13" t="s">
        <v>385</v>
      </c>
      <c r="D825" s="12" t="s">
        <v>41</v>
      </c>
      <c r="E825" s="12" t="s">
        <v>56</v>
      </c>
      <c r="F825" s="69">
        <v>2411.0127285714293</v>
      </c>
      <c r="G825" s="14"/>
      <c r="H825" s="67">
        <f t="shared" ref="H825:P825" si="333">+H646/H$697</f>
        <v>0</v>
      </c>
      <c r="I825" s="67">
        <f t="shared" si="333"/>
        <v>0</v>
      </c>
      <c r="J825" s="67">
        <f t="shared" si="333"/>
        <v>0</v>
      </c>
      <c r="K825" s="67">
        <f t="shared" si="333"/>
        <v>5.4847423185278901</v>
      </c>
      <c r="L825" s="67">
        <f t="shared" si="333"/>
        <v>5.6668335580073164</v>
      </c>
      <c r="M825" s="67">
        <f t="shared" si="333"/>
        <v>4.7631761005227276</v>
      </c>
      <c r="N825" s="67">
        <f t="shared" si="333"/>
        <v>3.7448727722628088</v>
      </c>
      <c r="O825" s="67">
        <f t="shared" si="333"/>
        <v>2.7845109119029008</v>
      </c>
      <c r="P825" s="67">
        <f t="shared" si="333"/>
        <v>1.8133468957991132</v>
      </c>
    </row>
    <row r="826" spans="2:16" ht="13" hidden="1" outlineLevel="1" x14ac:dyDescent="0.3">
      <c r="B826" s="14"/>
      <c r="C826" s="13" t="s">
        <v>386</v>
      </c>
      <c r="D826" s="12" t="s">
        <v>41</v>
      </c>
      <c r="E826" s="12" t="s">
        <v>56</v>
      </c>
      <c r="F826" s="69">
        <v>159922.28604624994</v>
      </c>
      <c r="G826" s="14"/>
      <c r="H826" s="67">
        <f t="shared" ref="H826:P826" si="334">+H647/H$697</f>
        <v>0</v>
      </c>
      <c r="I826" s="67">
        <f t="shared" si="334"/>
        <v>0</v>
      </c>
      <c r="J826" s="67">
        <f t="shared" si="334"/>
        <v>0</v>
      </c>
      <c r="K826" s="67">
        <f t="shared" si="334"/>
        <v>0</v>
      </c>
      <c r="L826" s="67">
        <f t="shared" si="334"/>
        <v>359.51552195480178</v>
      </c>
      <c r="M826" s="67">
        <f t="shared" si="334"/>
        <v>345.78490554570476</v>
      </c>
      <c r="N826" s="67">
        <f t="shared" si="334"/>
        <v>323.86021200793107</v>
      </c>
      <c r="O826" s="67">
        <f t="shared" si="334"/>
        <v>306.42824662599622</v>
      </c>
      <c r="P826" s="67">
        <f t="shared" si="334"/>
        <v>288.02680762430282</v>
      </c>
    </row>
    <row r="827" spans="2:16" ht="13" hidden="1" outlineLevel="1" x14ac:dyDescent="0.3">
      <c r="B827" s="14"/>
      <c r="C827" s="13" t="s">
        <v>387</v>
      </c>
      <c r="D827" s="12" t="s">
        <v>41</v>
      </c>
      <c r="E827" s="12" t="s">
        <v>56</v>
      </c>
      <c r="F827" s="69">
        <v>2781.4179285714285</v>
      </c>
      <c r="G827" s="14"/>
      <c r="H827" s="67">
        <f t="shared" ref="H827:P827" si="335">+H648/H$697</f>
        <v>0</v>
      </c>
      <c r="I827" s="67">
        <f t="shared" si="335"/>
        <v>0</v>
      </c>
      <c r="J827" s="67">
        <f t="shared" si="335"/>
        <v>0</v>
      </c>
      <c r="K827" s="67">
        <f t="shared" si="335"/>
        <v>0</v>
      </c>
      <c r="L827" s="67">
        <f t="shared" si="335"/>
        <v>8.1060940645425514</v>
      </c>
      <c r="M827" s="67">
        <f t="shared" si="335"/>
        <v>6.9528547144142037</v>
      </c>
      <c r="N827" s="67">
        <f t="shared" si="335"/>
        <v>5.6326771102389843</v>
      </c>
      <c r="O827" s="67">
        <f t="shared" si="335"/>
        <v>4.3979930264102585</v>
      </c>
      <c r="P827" s="67">
        <f t="shared" si="335"/>
        <v>3.1469485438720812</v>
      </c>
    </row>
    <row r="828" spans="2:16" ht="13" hidden="1" outlineLevel="1" x14ac:dyDescent="0.3">
      <c r="B828" s="14"/>
      <c r="C828" s="13" t="s">
        <v>388</v>
      </c>
      <c r="D828" s="12" t="s">
        <v>41</v>
      </c>
      <c r="E828" s="12" t="s">
        <v>56</v>
      </c>
      <c r="F828" s="69">
        <v>81770.839254999984</v>
      </c>
      <c r="G828" s="14"/>
      <c r="H828" s="67">
        <f t="shared" ref="H828:P828" si="336">+H649/H$697</f>
        <v>0</v>
      </c>
      <c r="I828" s="67">
        <f t="shared" si="336"/>
        <v>0</v>
      </c>
      <c r="J828" s="67">
        <f t="shared" si="336"/>
        <v>0</v>
      </c>
      <c r="K828" s="67">
        <f t="shared" si="336"/>
        <v>0</v>
      </c>
      <c r="L828" s="67">
        <f t="shared" si="336"/>
        <v>191.30811336224573</v>
      </c>
      <c r="M828" s="67">
        <f t="shared" si="336"/>
        <v>180.59571093852102</v>
      </c>
      <c r="N828" s="67">
        <f t="shared" si="336"/>
        <v>165.59493984179286</v>
      </c>
      <c r="O828" s="67">
        <f t="shared" si="336"/>
        <v>152.92106473923533</v>
      </c>
      <c r="P828" s="67">
        <f t="shared" si="336"/>
        <v>139.75350473653296</v>
      </c>
    </row>
    <row r="829" spans="2:16" ht="13" hidden="1" outlineLevel="1" x14ac:dyDescent="0.3">
      <c r="B829" s="14"/>
      <c r="C829" s="13" t="s">
        <v>389</v>
      </c>
      <c r="D829" s="12" t="s">
        <v>41</v>
      </c>
      <c r="E829" s="12" t="s">
        <v>56</v>
      </c>
      <c r="F829" s="69">
        <v>3762.1287016666656</v>
      </c>
      <c r="G829" s="14"/>
      <c r="H829" s="67">
        <f t="shared" ref="H829:P829" si="337">+H650/H$697</f>
        <v>0</v>
      </c>
      <c r="I829" s="67">
        <f t="shared" si="337"/>
        <v>0</v>
      </c>
      <c r="J829" s="67">
        <f t="shared" si="337"/>
        <v>0</v>
      </c>
      <c r="K829" s="67">
        <f t="shared" si="337"/>
        <v>0</v>
      </c>
      <c r="L829" s="67">
        <f t="shared" si="337"/>
        <v>9.6090503591893714</v>
      </c>
      <c r="M829" s="67">
        <f t="shared" si="337"/>
        <v>8.7178570848474344</v>
      </c>
      <c r="N829" s="67">
        <f t="shared" si="337"/>
        <v>7.6187242506683734</v>
      </c>
      <c r="O829" s="67">
        <f t="shared" si="337"/>
        <v>6.6298514315705575</v>
      </c>
      <c r="P829" s="67">
        <f t="shared" si="337"/>
        <v>5.6184832957891855</v>
      </c>
    </row>
    <row r="830" spans="2:16" ht="13" hidden="1" outlineLevel="1" x14ac:dyDescent="0.3">
      <c r="B830" s="14"/>
      <c r="C830" s="13" t="s">
        <v>349</v>
      </c>
      <c r="D830" s="12" t="s">
        <v>41</v>
      </c>
      <c r="E830" s="12" t="s">
        <v>56</v>
      </c>
      <c r="F830" s="69">
        <v>4251.422657142858</v>
      </c>
      <c r="G830" s="14"/>
      <c r="H830" s="67">
        <f t="shared" ref="H830:P830" si="338">+H651/H$697</f>
        <v>0</v>
      </c>
      <c r="I830" s="67">
        <f t="shared" si="338"/>
        <v>0</v>
      </c>
      <c r="J830" s="67">
        <f t="shared" si="338"/>
        <v>0</v>
      </c>
      <c r="K830" s="67">
        <f t="shared" si="338"/>
        <v>10.986961239612377</v>
      </c>
      <c r="L830" s="67">
        <f t="shared" si="338"/>
        <v>9.6828768663599138</v>
      </c>
      <c r="M830" s="67">
        <f t="shared" si="338"/>
        <v>8.1043150459697966</v>
      </c>
      <c r="N830" s="67">
        <f t="shared" si="338"/>
        <v>6.3305869898997571</v>
      </c>
      <c r="O830" s="67">
        <f t="shared" si="338"/>
        <v>4.6552169668655017</v>
      </c>
      <c r="P830" s="67">
        <f t="shared" si="338"/>
        <v>2.9616141650847543</v>
      </c>
    </row>
    <row r="831" spans="2:16" ht="13" hidden="1" outlineLevel="1" x14ac:dyDescent="0.3">
      <c r="B831" s="14"/>
      <c r="C831" s="13" t="s">
        <v>390</v>
      </c>
      <c r="D831" s="12" t="s">
        <v>41</v>
      </c>
      <c r="E831" s="12" t="s">
        <v>56</v>
      </c>
      <c r="F831" s="69">
        <v>23980.159103888884</v>
      </c>
      <c r="G831" s="14"/>
      <c r="H831" s="67">
        <f t="shared" ref="H831:P831" si="339">+H652/H$697</f>
        <v>0</v>
      </c>
      <c r="I831" s="67">
        <f t="shared" si="339"/>
        <v>0</v>
      </c>
      <c r="J831" s="67">
        <f t="shared" si="339"/>
        <v>0</v>
      </c>
      <c r="K831" s="67">
        <f t="shared" si="339"/>
        <v>0</v>
      </c>
      <c r="L831" s="67">
        <f t="shared" si="339"/>
        <v>55.960713163209661</v>
      </c>
      <c r="M831" s="67">
        <f t="shared" si="339"/>
        <v>52.890851665085265</v>
      </c>
      <c r="N831" s="67">
        <f t="shared" si="339"/>
        <v>48.562920267801516</v>
      </c>
      <c r="O831" s="67">
        <f t="shared" si="339"/>
        <v>44.916823994929764</v>
      </c>
      <c r="P831" s="67">
        <f t="shared" si="339"/>
        <v>41.125910036887078</v>
      </c>
    </row>
    <row r="832" spans="2:16" ht="13" hidden="1" outlineLevel="1" x14ac:dyDescent="0.3">
      <c r="B832" s="14"/>
      <c r="C832" s="13" t="s">
        <v>391</v>
      </c>
      <c r="D832" s="12" t="s">
        <v>41</v>
      </c>
      <c r="E832" s="12" t="s">
        <v>56</v>
      </c>
      <c r="F832" s="69">
        <v>683.27112857142868</v>
      </c>
      <c r="G832" s="14"/>
      <c r="H832" s="67">
        <f t="shared" ref="H832:P832" si="340">+H653/H$697</f>
        <v>0</v>
      </c>
      <c r="I832" s="67">
        <f t="shared" si="340"/>
        <v>0</v>
      </c>
      <c r="J832" s="67">
        <f t="shared" si="340"/>
        <v>0</v>
      </c>
      <c r="K832" s="67">
        <f t="shared" si="340"/>
        <v>0</v>
      </c>
      <c r="L832" s="67">
        <f t="shared" si="340"/>
        <v>0</v>
      </c>
      <c r="M832" s="67">
        <f t="shared" si="340"/>
        <v>2.2248310286889503</v>
      </c>
      <c r="N832" s="67">
        <f t="shared" si="340"/>
        <v>1.8868624882705831</v>
      </c>
      <c r="O832" s="67">
        <f t="shared" si="340"/>
        <v>1.5767161810719112</v>
      </c>
      <c r="P832" s="67">
        <f t="shared" si="340"/>
        <v>1.2610337447481903</v>
      </c>
    </row>
    <row r="833" spans="2:16" ht="13" hidden="1" outlineLevel="1" x14ac:dyDescent="0.3">
      <c r="B833" s="14"/>
      <c r="C833" s="13" t="s">
        <v>392</v>
      </c>
      <c r="D833" s="12" t="s">
        <v>41</v>
      </c>
      <c r="E833" s="12" t="s">
        <v>56</v>
      </c>
      <c r="F833" s="69">
        <v>30273.692289777773</v>
      </c>
      <c r="G833" s="14"/>
      <c r="H833" s="67">
        <f t="shared" ref="H833:P833" si="341">+H654/H$697</f>
        <v>0</v>
      </c>
      <c r="I833" s="67">
        <f t="shared" si="341"/>
        <v>0</v>
      </c>
      <c r="J833" s="67">
        <f t="shared" si="341"/>
        <v>0</v>
      </c>
      <c r="K833" s="67">
        <f t="shared" si="341"/>
        <v>0</v>
      </c>
      <c r="L833" s="67">
        <f t="shared" si="341"/>
        <v>0</v>
      </c>
      <c r="M833" s="67">
        <f t="shared" si="341"/>
        <v>86.624220169189599</v>
      </c>
      <c r="N833" s="67">
        <f t="shared" si="341"/>
        <v>79.659488034985912</v>
      </c>
      <c r="O833" s="67">
        <f t="shared" si="341"/>
        <v>73.812140509728621</v>
      </c>
      <c r="P833" s="67">
        <f t="shared" si="341"/>
        <v>67.727171590817633</v>
      </c>
    </row>
    <row r="834" spans="2:16" ht="13" hidden="1" outlineLevel="1" x14ac:dyDescent="0.3">
      <c r="B834" s="14"/>
      <c r="C834" s="13" t="s">
        <v>393</v>
      </c>
      <c r="D834" s="12" t="s">
        <v>41</v>
      </c>
      <c r="E834" s="12" t="s">
        <v>56</v>
      </c>
      <c r="F834" s="69">
        <v>146.54866666666663</v>
      </c>
      <c r="G834" s="14"/>
      <c r="H834" s="67">
        <f t="shared" ref="H834:P834" si="342">+H655/H$697</f>
        <v>0</v>
      </c>
      <c r="I834" s="67">
        <f t="shared" si="342"/>
        <v>0</v>
      </c>
      <c r="J834" s="67">
        <f t="shared" si="342"/>
        <v>0</v>
      </c>
      <c r="K834" s="67">
        <f t="shared" si="342"/>
        <v>0</v>
      </c>
      <c r="L834" s="67">
        <f t="shared" si="342"/>
        <v>0.42291811642734928</v>
      </c>
      <c r="M834" s="67">
        <f t="shared" si="342"/>
        <v>0.36421795899110743</v>
      </c>
      <c r="N834" s="67">
        <f t="shared" si="342"/>
        <v>0.29677716239261581</v>
      </c>
      <c r="O834" s="67">
        <f t="shared" si="342"/>
        <v>0.23382430254084655</v>
      </c>
      <c r="P834" s="67">
        <f t="shared" si="342"/>
        <v>0.17000830839895026</v>
      </c>
    </row>
    <row r="835" spans="2:16" ht="13" hidden="1" outlineLevel="1" x14ac:dyDescent="0.3">
      <c r="B835" s="14"/>
      <c r="C835" s="13" t="s">
        <v>394</v>
      </c>
      <c r="D835" s="12" t="s">
        <v>41</v>
      </c>
      <c r="E835" s="12" t="s">
        <v>56</v>
      </c>
      <c r="F835" s="69">
        <v>159.05317500000001</v>
      </c>
      <c r="G835" s="14"/>
      <c r="H835" s="67">
        <f t="shared" ref="H835:P835" si="343">+H656/H$697</f>
        <v>0</v>
      </c>
      <c r="I835" s="67">
        <f t="shared" si="343"/>
        <v>0</v>
      </c>
      <c r="J835" s="67">
        <f t="shared" si="343"/>
        <v>0</v>
      </c>
      <c r="K835" s="67">
        <f t="shared" si="343"/>
        <v>0</v>
      </c>
      <c r="L835" s="67">
        <f t="shared" si="343"/>
        <v>0.89250837469146949</v>
      </c>
      <c r="M835" s="67">
        <f t="shared" si="343"/>
        <v>0.54256239764410463</v>
      </c>
      <c r="N835" s="67">
        <f t="shared" si="343"/>
        <v>0.17894453699126175</v>
      </c>
      <c r="O835" s="67">
        <f t="shared" si="343"/>
        <v>0</v>
      </c>
      <c r="P835" s="67">
        <f t="shared" si="343"/>
        <v>0</v>
      </c>
    </row>
    <row r="836" spans="2:16" ht="13" hidden="1" outlineLevel="1" x14ac:dyDescent="0.3">
      <c r="B836" s="14"/>
      <c r="C836" s="13" t="s">
        <v>395</v>
      </c>
      <c r="D836" s="12" t="s">
        <v>41</v>
      </c>
      <c r="E836" s="12" t="s">
        <v>56</v>
      </c>
      <c r="F836" s="69">
        <v>7591.2611600000018</v>
      </c>
      <c r="G836" s="14"/>
      <c r="H836" s="67">
        <f t="shared" ref="H836:P836" si="344">+H657/H$697</f>
        <v>0</v>
      </c>
      <c r="I836" s="67">
        <f t="shared" si="344"/>
        <v>0</v>
      </c>
      <c r="J836" s="67">
        <f t="shared" si="344"/>
        <v>0</v>
      </c>
      <c r="K836" s="67">
        <f t="shared" si="344"/>
        <v>0</v>
      </c>
      <c r="L836" s="67">
        <f t="shared" si="344"/>
        <v>0</v>
      </c>
      <c r="M836" s="67">
        <f t="shared" si="344"/>
        <v>38.842979928997025</v>
      </c>
      <c r="N836" s="67">
        <f t="shared" si="344"/>
        <v>25.621897458933756</v>
      </c>
      <c r="O836" s="67">
        <f t="shared" si="344"/>
        <v>12.846233543058126</v>
      </c>
      <c r="P836" s="67">
        <f t="shared" si="344"/>
        <v>4.6160074961882552E-15</v>
      </c>
    </row>
    <row r="837" spans="2:16" ht="13" hidden="1" outlineLevel="1" x14ac:dyDescent="0.3">
      <c r="B837" s="14"/>
      <c r="C837" s="13" t="s">
        <v>396</v>
      </c>
      <c r="D837" s="12" t="s">
        <v>41</v>
      </c>
      <c r="E837" s="12" t="s">
        <v>56</v>
      </c>
      <c r="F837" s="69">
        <v>1632.5183444999998</v>
      </c>
      <c r="G837" s="14"/>
      <c r="H837" s="67">
        <f t="shared" ref="H837:P837" si="345">+H658/H$697</f>
        <v>0</v>
      </c>
      <c r="I837" s="67">
        <f t="shared" si="345"/>
        <v>0</v>
      </c>
      <c r="J837" s="67">
        <f t="shared" si="345"/>
        <v>0</v>
      </c>
      <c r="K837" s="67">
        <f t="shared" si="345"/>
        <v>0</v>
      </c>
      <c r="L837" s="67">
        <f t="shared" si="345"/>
        <v>0</v>
      </c>
      <c r="M837" s="67">
        <f t="shared" si="345"/>
        <v>0</v>
      </c>
      <c r="N837" s="67">
        <f t="shared" si="345"/>
        <v>0</v>
      </c>
      <c r="O837" s="67">
        <f t="shared" si="345"/>
        <v>8.5012577806507803</v>
      </c>
      <c r="P837" s="67">
        <f t="shared" si="345"/>
        <v>8.0722450669017967</v>
      </c>
    </row>
    <row r="838" spans="2:16" ht="13" hidden="1" outlineLevel="1" x14ac:dyDescent="0.3">
      <c r="B838" s="14"/>
      <c r="C838" s="13" t="s">
        <v>385</v>
      </c>
      <c r="D838" s="12" t="s">
        <v>41</v>
      </c>
      <c r="E838" s="12" t="s">
        <v>56</v>
      </c>
      <c r="F838" s="69">
        <v>925.11746285714275</v>
      </c>
      <c r="G838" s="14"/>
      <c r="H838" s="67">
        <f t="shared" ref="H838:P838" si="346">+H659/H$697</f>
        <v>0</v>
      </c>
      <c r="I838" s="67">
        <f t="shared" si="346"/>
        <v>0</v>
      </c>
      <c r="J838" s="67">
        <f t="shared" si="346"/>
        <v>0</v>
      </c>
      <c r="K838" s="67">
        <f t="shared" si="346"/>
        <v>0</v>
      </c>
      <c r="L838" s="67">
        <f t="shared" si="346"/>
        <v>0</v>
      </c>
      <c r="M838" s="67">
        <f t="shared" si="346"/>
        <v>0</v>
      </c>
      <c r="N838" s="67">
        <f t="shared" si="346"/>
        <v>3.6734599508882821</v>
      </c>
      <c r="O838" s="67">
        <f t="shared" si="346"/>
        <v>3.1310410041601711</v>
      </c>
      <c r="P838" s="67">
        <f t="shared" si="346"/>
        <v>2.5778109619487006</v>
      </c>
    </row>
    <row r="839" spans="2:16" ht="13" hidden="1" outlineLevel="1" x14ac:dyDescent="0.3">
      <c r="B839" s="14"/>
      <c r="C839" s="13" t="s">
        <v>349</v>
      </c>
      <c r="D839" s="12" t="s">
        <v>41</v>
      </c>
      <c r="E839" s="12" t="s">
        <v>56</v>
      </c>
      <c r="F839" s="69">
        <v>3743.3185374999989</v>
      </c>
      <c r="G839" s="14"/>
      <c r="H839" s="67">
        <f t="shared" ref="H839:P839" si="347">+H660/H$697</f>
        <v>0</v>
      </c>
      <c r="I839" s="67">
        <f t="shared" si="347"/>
        <v>0</v>
      </c>
      <c r="J839" s="67">
        <f t="shared" si="347"/>
        <v>0</v>
      </c>
      <c r="K839" s="67">
        <f t="shared" si="347"/>
        <v>0</v>
      </c>
      <c r="L839" s="67">
        <f t="shared" si="347"/>
        <v>0</v>
      </c>
      <c r="M839" s="67">
        <f t="shared" si="347"/>
        <v>0</v>
      </c>
      <c r="N839" s="67">
        <f t="shared" si="347"/>
        <v>14.924977517255703</v>
      </c>
      <c r="O839" s="67">
        <f t="shared" si="347"/>
        <v>12.669184512362042</v>
      </c>
      <c r="P839" s="67">
        <f t="shared" si="347"/>
        <v>10.369494841143919</v>
      </c>
    </row>
    <row r="840" spans="2:16" ht="13" hidden="1" outlineLevel="1" x14ac:dyDescent="0.3">
      <c r="B840" s="14"/>
      <c r="C840" s="13" t="s">
        <v>397</v>
      </c>
      <c r="D840" s="12" t="s">
        <v>41</v>
      </c>
      <c r="E840" s="12" t="s">
        <v>56</v>
      </c>
      <c r="F840" s="69">
        <v>42.418179166666661</v>
      </c>
      <c r="G840" s="14"/>
      <c r="H840" s="67">
        <f t="shared" ref="H840:P840" si="348">+H661/H$697</f>
        <v>0</v>
      </c>
      <c r="I840" s="67">
        <f t="shared" si="348"/>
        <v>0</v>
      </c>
      <c r="J840" s="67">
        <f t="shared" si="348"/>
        <v>0</v>
      </c>
      <c r="K840" s="67">
        <f t="shared" si="348"/>
        <v>0</v>
      </c>
      <c r="L840" s="67">
        <f t="shared" si="348"/>
        <v>0</v>
      </c>
      <c r="M840" s="67">
        <f t="shared" si="348"/>
        <v>0</v>
      </c>
      <c r="N840" s="67">
        <f t="shared" si="348"/>
        <v>0.2379569636600829</v>
      </c>
      <c r="O840" s="67">
        <f t="shared" si="348"/>
        <v>0.14356345396666145</v>
      </c>
      <c r="P840" s="67">
        <f t="shared" si="348"/>
        <v>4.8501500300370766E-2</v>
      </c>
    </row>
    <row r="841" spans="2:16" ht="13" hidden="1" outlineLevel="1" x14ac:dyDescent="0.3">
      <c r="B841" s="14"/>
      <c r="C841" s="13" t="s">
        <v>390</v>
      </c>
      <c r="D841" s="12" t="s">
        <v>41</v>
      </c>
      <c r="E841" s="12" t="s">
        <v>56</v>
      </c>
      <c r="F841" s="69">
        <v>8831.3577311666668</v>
      </c>
      <c r="G841" s="14"/>
      <c r="H841" s="67">
        <f t="shared" ref="H841:P841" si="349">+H662/H$697</f>
        <v>0</v>
      </c>
      <c r="I841" s="67">
        <f t="shared" si="349"/>
        <v>0</v>
      </c>
      <c r="J841" s="67">
        <f t="shared" si="349"/>
        <v>0</v>
      </c>
      <c r="K841" s="67">
        <f t="shared" si="349"/>
        <v>0</v>
      </c>
      <c r="L841" s="67">
        <f t="shared" si="349"/>
        <v>0</v>
      </c>
      <c r="M841" s="67">
        <f t="shared" si="349"/>
        <v>0</v>
      </c>
      <c r="N841" s="67">
        <f t="shared" si="349"/>
        <v>32.013034737726883</v>
      </c>
      <c r="O841" s="67">
        <f t="shared" si="349"/>
        <v>29.889548396687992</v>
      </c>
      <c r="P841" s="67">
        <f t="shared" si="349"/>
        <v>27.670446554021552</v>
      </c>
    </row>
    <row r="842" spans="2:16" ht="13" hidden="1" outlineLevel="1" x14ac:dyDescent="0.3">
      <c r="B842" s="14"/>
      <c r="C842" s="13" t="s">
        <v>398</v>
      </c>
      <c r="D842" s="12" t="s">
        <v>41</v>
      </c>
      <c r="E842" s="12" t="s">
        <v>56</v>
      </c>
      <c r="F842" s="69">
        <v>419.53135714285719</v>
      </c>
      <c r="G842" s="14"/>
      <c r="H842" s="67">
        <f t="shared" ref="H842:P842" si="350">+H663/H$697</f>
        <v>0</v>
      </c>
      <c r="I842" s="67">
        <f t="shared" si="350"/>
        <v>0</v>
      </c>
      <c r="J842" s="67">
        <f t="shared" si="350"/>
        <v>0</v>
      </c>
      <c r="K842" s="67">
        <f t="shared" si="350"/>
        <v>0</v>
      </c>
      <c r="L842" s="67">
        <f t="shared" si="350"/>
        <v>0</v>
      </c>
      <c r="M842" s="67">
        <f t="shared" si="350"/>
        <v>0</v>
      </c>
      <c r="N842" s="67">
        <f t="shared" si="350"/>
        <v>1.673448880358023</v>
      </c>
      <c r="O842" s="67">
        <f t="shared" si="350"/>
        <v>1.4198952397768037</v>
      </c>
      <c r="P842" s="67">
        <f t="shared" si="350"/>
        <v>1.1614200634598639</v>
      </c>
    </row>
    <row r="843" spans="2:16" ht="13" hidden="1" outlineLevel="1" x14ac:dyDescent="0.3">
      <c r="B843" s="14"/>
      <c r="C843" s="13" t="s">
        <v>399</v>
      </c>
      <c r="D843" s="12" t="s">
        <v>41</v>
      </c>
      <c r="E843" s="12" t="s">
        <v>56</v>
      </c>
      <c r="F843" s="69">
        <v>637.54391821428578</v>
      </c>
      <c r="G843" s="14"/>
      <c r="H843" s="67">
        <f t="shared" ref="H843:P843" si="351">+H664/H$697</f>
        <v>0</v>
      </c>
      <c r="I843" s="67">
        <f t="shared" si="351"/>
        <v>0</v>
      </c>
      <c r="J843" s="67">
        <f t="shared" si="351"/>
        <v>0</v>
      </c>
      <c r="K843" s="67">
        <f t="shared" si="351"/>
        <v>0</v>
      </c>
      <c r="L843" s="67">
        <f t="shared" si="351"/>
        <v>0</v>
      </c>
      <c r="M843" s="67">
        <f t="shared" si="351"/>
        <v>0</v>
      </c>
      <c r="N843" s="67">
        <f t="shared" si="351"/>
        <v>2.5400496458179509</v>
      </c>
      <c r="O843" s="67">
        <f t="shared" si="351"/>
        <v>2.1577542636768046</v>
      </c>
      <c r="P843" s="67">
        <f t="shared" si="351"/>
        <v>1.7679873352322266</v>
      </c>
    </row>
    <row r="844" spans="2:16" ht="13" hidden="1" outlineLevel="1" x14ac:dyDescent="0.3">
      <c r="B844" s="14"/>
      <c r="C844" s="13" t="s">
        <v>400</v>
      </c>
      <c r="D844" s="12" t="s">
        <v>41</v>
      </c>
      <c r="E844" s="12" t="s">
        <v>56</v>
      </c>
      <c r="F844" s="69">
        <v>32.471847499999996</v>
      </c>
      <c r="G844" s="14"/>
      <c r="H844" s="67">
        <f t="shared" ref="H844:P844" si="352">+H665/H$697</f>
        <v>0</v>
      </c>
      <c r="I844" s="67">
        <f t="shared" si="352"/>
        <v>0</v>
      </c>
      <c r="J844" s="67">
        <f t="shared" si="352"/>
        <v>0</v>
      </c>
      <c r="K844" s="67">
        <f t="shared" si="352"/>
        <v>0</v>
      </c>
      <c r="L844" s="67">
        <f t="shared" si="352"/>
        <v>0</v>
      </c>
      <c r="M844" s="67">
        <f t="shared" si="352"/>
        <v>0</v>
      </c>
      <c r="N844" s="67">
        <f t="shared" si="352"/>
        <v>0.18068931265475172</v>
      </c>
      <c r="O844" s="67">
        <f t="shared" si="352"/>
        <v>0.10990029924344429</v>
      </c>
      <c r="P844" s="67">
        <f t="shared" si="352"/>
        <v>3.8603234932948143E-2</v>
      </c>
    </row>
    <row r="845" spans="2:16" ht="13" hidden="1" outlineLevel="1" x14ac:dyDescent="0.3">
      <c r="B845" s="14"/>
      <c r="C845" s="13" t="s">
        <v>401</v>
      </c>
      <c r="D845" s="12" t="s">
        <v>41</v>
      </c>
      <c r="E845" s="12" t="s">
        <v>56</v>
      </c>
      <c r="F845" s="69">
        <v>1090.1114164285714</v>
      </c>
      <c r="G845" s="14"/>
      <c r="H845" s="67">
        <f t="shared" ref="H845:P845" si="353">+H666/H$697</f>
        <v>0</v>
      </c>
      <c r="I845" s="67">
        <f t="shared" si="353"/>
        <v>0</v>
      </c>
      <c r="J845" s="67">
        <f t="shared" si="353"/>
        <v>0</v>
      </c>
      <c r="K845" s="67">
        <f t="shared" si="353"/>
        <v>0</v>
      </c>
      <c r="L845" s="67">
        <f t="shared" si="353"/>
        <v>0</v>
      </c>
      <c r="M845" s="67">
        <f t="shared" si="353"/>
        <v>0</v>
      </c>
      <c r="N845" s="67">
        <f t="shared" si="353"/>
        <v>4.3482941101508805</v>
      </c>
      <c r="O845" s="67">
        <f t="shared" si="353"/>
        <v>3.6894596426703132</v>
      </c>
      <c r="P845" s="67">
        <f t="shared" si="353"/>
        <v>3.0178370433837998</v>
      </c>
    </row>
    <row r="846" spans="2:16" ht="13" hidden="1" outlineLevel="1" x14ac:dyDescent="0.3">
      <c r="B846" s="14"/>
      <c r="C846" s="13" t="s">
        <v>402</v>
      </c>
      <c r="D846" s="12" t="s">
        <v>41</v>
      </c>
      <c r="E846" s="12" t="s">
        <v>56</v>
      </c>
      <c r="F846" s="69">
        <v>1359.9488571428574</v>
      </c>
      <c r="G846" s="14"/>
      <c r="H846" s="67">
        <f t="shared" ref="H846:P846" si="354">+H667/H$697</f>
        <v>0</v>
      </c>
      <c r="I846" s="67">
        <f t="shared" si="354"/>
        <v>0</v>
      </c>
      <c r="J846" s="67">
        <f t="shared" si="354"/>
        <v>0</v>
      </c>
      <c r="K846" s="67">
        <f t="shared" si="354"/>
        <v>0</v>
      </c>
      <c r="L846" s="67">
        <f t="shared" si="354"/>
        <v>0</v>
      </c>
      <c r="M846" s="67">
        <f t="shared" si="354"/>
        <v>0</v>
      </c>
      <c r="N846" s="67">
        <f t="shared" si="354"/>
        <v>5.4246359743615997</v>
      </c>
      <c r="O846" s="67">
        <f t="shared" si="354"/>
        <v>4.6027189046074479</v>
      </c>
      <c r="P846" s="67">
        <f t="shared" si="354"/>
        <v>3.7648482314212113</v>
      </c>
    </row>
    <row r="847" spans="2:16" ht="13" hidden="1" outlineLevel="1" x14ac:dyDescent="0.3">
      <c r="B847" s="14"/>
      <c r="C847" s="13" t="s">
        <v>403</v>
      </c>
      <c r="D847" s="12" t="s">
        <v>41</v>
      </c>
      <c r="E847" s="12" t="s">
        <v>56</v>
      </c>
      <c r="F847" s="69">
        <v>835.51834928571429</v>
      </c>
      <c r="G847" s="14"/>
      <c r="H847" s="67">
        <f t="shared" ref="H847:P847" si="355">+H668/H$697</f>
        <v>0</v>
      </c>
      <c r="I847" s="67">
        <f t="shared" si="355"/>
        <v>0</v>
      </c>
      <c r="J847" s="67">
        <f t="shared" si="355"/>
        <v>0</v>
      </c>
      <c r="K847" s="67">
        <f t="shared" si="355"/>
        <v>0</v>
      </c>
      <c r="L847" s="67">
        <f t="shared" si="355"/>
        <v>0</v>
      </c>
      <c r="M847" s="67">
        <f t="shared" si="355"/>
        <v>0</v>
      </c>
      <c r="N847" s="67">
        <f t="shared" si="355"/>
        <v>3.3327598100245304</v>
      </c>
      <c r="O847" s="67">
        <f t="shared" si="355"/>
        <v>2.8277946491923078</v>
      </c>
      <c r="P847" s="67">
        <f t="shared" si="355"/>
        <v>2.3130279959475408</v>
      </c>
    </row>
    <row r="848" spans="2:16" ht="13" hidden="1" outlineLevel="1" x14ac:dyDescent="0.3">
      <c r="B848" s="14"/>
      <c r="C848" s="13" t="s">
        <v>404</v>
      </c>
      <c r="D848" s="12" t="s">
        <v>41</v>
      </c>
      <c r="E848" s="12" t="s">
        <v>56</v>
      </c>
      <c r="F848" s="69">
        <v>10.531410000000001</v>
      </c>
      <c r="G848" s="14"/>
      <c r="H848" s="67">
        <f t="shared" ref="H848:P848" si="356">+H669/H$697</f>
        <v>0</v>
      </c>
      <c r="I848" s="67">
        <f t="shared" si="356"/>
        <v>0</v>
      </c>
      <c r="J848" s="67">
        <f t="shared" si="356"/>
        <v>0</v>
      </c>
      <c r="K848" s="67">
        <f t="shared" si="356"/>
        <v>0</v>
      </c>
      <c r="L848" s="67">
        <f t="shared" si="356"/>
        <v>0</v>
      </c>
      <c r="M848" s="67">
        <f t="shared" si="356"/>
        <v>0</v>
      </c>
      <c r="N848" s="67">
        <f t="shared" si="356"/>
        <v>5.9242397591721882E-2</v>
      </c>
      <c r="O848" s="67">
        <f t="shared" si="356"/>
        <v>3.5643340295171119E-2</v>
      </c>
      <c r="P848" s="67">
        <f t="shared" si="356"/>
        <v>1.187791844090713E-2</v>
      </c>
    </row>
    <row r="849" spans="2:16" ht="13" hidden="1" outlineLevel="1" x14ac:dyDescent="0.3">
      <c r="B849" s="14"/>
      <c r="C849" s="13" t="s">
        <v>405</v>
      </c>
      <c r="D849" s="12" t="s">
        <v>41</v>
      </c>
      <c r="E849" s="12" t="s">
        <v>56</v>
      </c>
      <c r="F849" s="69">
        <v>931.4009657142858</v>
      </c>
      <c r="G849" s="14"/>
      <c r="H849" s="67">
        <f t="shared" ref="H849:P849" si="357">+H670/H$697</f>
        <v>0</v>
      </c>
      <c r="I849" s="67">
        <f t="shared" si="357"/>
        <v>0</v>
      </c>
      <c r="J849" s="67">
        <f t="shared" si="357"/>
        <v>0</v>
      </c>
      <c r="K849" s="67">
        <f t="shared" si="357"/>
        <v>0</v>
      </c>
      <c r="L849" s="67">
        <f t="shared" si="357"/>
        <v>0</v>
      </c>
      <c r="M849" s="67">
        <f t="shared" si="357"/>
        <v>0</v>
      </c>
      <c r="N849" s="67">
        <f t="shared" si="357"/>
        <v>0</v>
      </c>
      <c r="O849" s="67">
        <f t="shared" si="357"/>
        <v>5.122499509071778</v>
      </c>
      <c r="P849" s="67">
        <f t="shared" si="357"/>
        <v>4.333257077111492</v>
      </c>
    </row>
    <row r="850" spans="2:16" ht="13" hidden="1" outlineLevel="1" x14ac:dyDescent="0.3">
      <c r="B850" s="14"/>
      <c r="C850" s="13" t="s">
        <v>406</v>
      </c>
      <c r="D850" s="12" t="s">
        <v>41</v>
      </c>
      <c r="E850" s="12" t="s">
        <v>56</v>
      </c>
      <c r="F850" s="69">
        <v>71.428571428571416</v>
      </c>
      <c r="G850" s="14"/>
      <c r="H850" s="67">
        <f t="shared" ref="H850:P850" si="358">+H671/H$697</f>
        <v>0</v>
      </c>
      <c r="I850" s="67">
        <f t="shared" si="358"/>
        <v>0</v>
      </c>
      <c r="J850" s="67">
        <f t="shared" si="358"/>
        <v>0</v>
      </c>
      <c r="K850" s="67">
        <f t="shared" si="358"/>
        <v>0</v>
      </c>
      <c r="L850" s="67">
        <f t="shared" si="358"/>
        <v>0</v>
      </c>
      <c r="M850" s="67">
        <f t="shared" si="358"/>
        <v>0</v>
      </c>
      <c r="N850" s="67">
        <f t="shared" si="358"/>
        <v>0</v>
      </c>
      <c r="O850" s="67">
        <f t="shared" si="358"/>
        <v>0.39163261735389127</v>
      </c>
      <c r="P850" s="67">
        <f t="shared" si="358"/>
        <v>0.3335232573345252</v>
      </c>
    </row>
    <row r="851" spans="2:16" ht="13" hidden="1" outlineLevel="1" x14ac:dyDescent="0.3">
      <c r="B851" s="14"/>
      <c r="C851" s="13" t="s">
        <v>407</v>
      </c>
      <c r="D851" s="12" t="s">
        <v>41</v>
      </c>
      <c r="E851" s="12" t="s">
        <v>56</v>
      </c>
      <c r="F851" s="69">
        <v>538.2307152777779</v>
      </c>
      <c r="G851" s="14"/>
      <c r="H851" s="67">
        <f t="shared" ref="H851:P851" si="359">+H672/H$697</f>
        <v>0</v>
      </c>
      <c r="I851" s="67">
        <f t="shared" si="359"/>
        <v>0</v>
      </c>
      <c r="J851" s="67">
        <f t="shared" si="359"/>
        <v>0</v>
      </c>
      <c r="K851" s="67">
        <f t="shared" si="359"/>
        <v>0</v>
      </c>
      <c r="L851" s="67">
        <f t="shared" si="359"/>
        <v>0</v>
      </c>
      <c r="M851" s="67">
        <f t="shared" si="359"/>
        <v>0</v>
      </c>
      <c r="N851" s="67">
        <f t="shared" si="359"/>
        <v>0</v>
      </c>
      <c r="O851" s="67">
        <f t="shared" si="359"/>
        <v>0</v>
      </c>
      <c r="P851" s="67">
        <f t="shared" si="359"/>
        <v>5.4634227369502231</v>
      </c>
    </row>
    <row r="852" spans="2:16" ht="13" hidden="1" outlineLevel="1" x14ac:dyDescent="0.3">
      <c r="B852" s="14"/>
      <c r="C852" s="13" t="s">
        <v>377</v>
      </c>
      <c r="D852" s="12" t="s">
        <v>41</v>
      </c>
      <c r="E852" s="12" t="s">
        <v>56</v>
      </c>
      <c r="F852" s="69">
        <v>4152.5185965000001</v>
      </c>
      <c r="G852" s="14"/>
      <c r="H852" s="67">
        <f t="shared" ref="H852:P852" si="360">+H673/H$697</f>
        <v>7.919396991666666</v>
      </c>
      <c r="I852" s="67">
        <f t="shared" si="360"/>
        <v>6.8703258556686793</v>
      </c>
      <c r="J852" s="67">
        <f t="shared" si="360"/>
        <v>6.085798734593836</v>
      </c>
      <c r="K852" s="67">
        <f t="shared" si="360"/>
        <v>5.3113030572452775</v>
      </c>
      <c r="L852" s="67">
        <f t="shared" si="360"/>
        <v>4.6602749343901086</v>
      </c>
      <c r="M852" s="67">
        <f t="shared" si="360"/>
        <v>3.8760160515338686</v>
      </c>
      <c r="N852" s="67">
        <f t="shared" si="360"/>
        <v>2.9983431882560203</v>
      </c>
      <c r="O852" s="67">
        <f t="shared" si="360"/>
        <v>2.1675498720169926</v>
      </c>
      <c r="P852" s="67">
        <f t="shared" si="360"/>
        <v>1.3281410576352577</v>
      </c>
    </row>
    <row r="853" spans="2:16" ht="13" hidden="1" outlineLevel="1" x14ac:dyDescent="0.3">
      <c r="B853" s="14"/>
      <c r="C853" s="13" t="s">
        <v>326</v>
      </c>
      <c r="D853" s="12" t="s">
        <v>41</v>
      </c>
      <c r="E853" s="12" t="s">
        <v>56</v>
      </c>
      <c r="F853" s="69">
        <v>23.200200000000002</v>
      </c>
      <c r="G853" s="14"/>
      <c r="H853" s="67">
        <f t="shared" ref="H853:P853" si="361">+H674/H$697</f>
        <v>5.8000500000000003E-2</v>
      </c>
      <c r="I853" s="67">
        <f t="shared" si="361"/>
        <v>4.815382444360064E-2</v>
      </c>
      <c r="J853" s="67">
        <f t="shared" si="361"/>
        <v>4.0233296808604664E-2</v>
      </c>
      <c r="K853" s="67">
        <f t="shared" si="361"/>
        <v>3.2357384235006122E-2</v>
      </c>
      <c r="L853" s="67">
        <f t="shared" si="361"/>
        <v>2.5107149832660859E-2</v>
      </c>
      <c r="M853" s="67">
        <f t="shared" si="361"/>
        <v>1.6958689809900857E-2</v>
      </c>
      <c r="N853" s="67">
        <f t="shared" si="361"/>
        <v>8.3898135288811588E-3</v>
      </c>
      <c r="O853" s="67">
        <f t="shared" si="361"/>
        <v>9.0180647195956333E-18</v>
      </c>
      <c r="P853" s="67">
        <f t="shared" si="361"/>
        <v>0</v>
      </c>
    </row>
    <row r="854" spans="2:16" ht="13" hidden="1" outlineLevel="1" x14ac:dyDescent="0.3">
      <c r="B854" s="14"/>
      <c r="C854" s="13" t="s">
        <v>451</v>
      </c>
      <c r="D854" s="12" t="s">
        <v>41</v>
      </c>
      <c r="E854" s="12" t="s">
        <v>56</v>
      </c>
      <c r="F854" s="69">
        <v>187.21871000000007</v>
      </c>
      <c r="G854" s="14"/>
      <c r="H854" s="67">
        <f t="shared" ref="H854:P854" si="362">+H675/H$697</f>
        <v>0</v>
      </c>
      <c r="I854" s="67">
        <f t="shared" si="362"/>
        <v>0.48652360288041963</v>
      </c>
      <c r="J854" s="67">
        <f t="shared" si="362"/>
        <v>0.41177751435785798</v>
      </c>
      <c r="K854" s="67">
        <f t="shared" si="362"/>
        <v>0.33753820665020101</v>
      </c>
      <c r="L854" s="67">
        <f t="shared" si="362"/>
        <v>0.27014297022999695</v>
      </c>
      <c r="M854" s="67">
        <f t="shared" si="362"/>
        <v>0.19359491824291197</v>
      </c>
      <c r="N854" s="67">
        <f t="shared" si="362"/>
        <v>0.11228839752348868</v>
      </c>
      <c r="O854" s="67">
        <f t="shared" si="362"/>
        <v>3.3116961795356573E-2</v>
      </c>
      <c r="P854" s="67">
        <f t="shared" si="362"/>
        <v>3.6062558563970743E-17</v>
      </c>
    </row>
    <row r="855" spans="2:16" ht="13" hidden="1" outlineLevel="1" x14ac:dyDescent="0.3">
      <c r="B855" s="14"/>
      <c r="C855" s="13" t="s">
        <v>452</v>
      </c>
      <c r="D855" s="12" t="s">
        <v>41</v>
      </c>
      <c r="E855" s="12" t="s">
        <v>56</v>
      </c>
      <c r="F855" s="69">
        <v>145.71902821428571</v>
      </c>
      <c r="G855" s="14"/>
      <c r="H855" s="67">
        <f t="shared" ref="H855:P855" si="363">+H676/H$697</f>
        <v>0</v>
      </c>
      <c r="I855" s="67">
        <f t="shared" si="363"/>
        <v>0</v>
      </c>
      <c r="J855" s="67">
        <f t="shared" si="363"/>
        <v>1.4151360208842183</v>
      </c>
      <c r="K855" s="67">
        <f t="shared" si="363"/>
        <v>0</v>
      </c>
      <c r="L855" s="67">
        <f t="shared" si="363"/>
        <v>0</v>
      </c>
      <c r="M855" s="67">
        <f t="shared" si="363"/>
        <v>0</v>
      </c>
      <c r="N855" s="67">
        <f t="shared" si="363"/>
        <v>0</v>
      </c>
      <c r="O855" s="67">
        <f t="shared" si="363"/>
        <v>0</v>
      </c>
      <c r="P855" s="67">
        <f t="shared" si="363"/>
        <v>0</v>
      </c>
    </row>
    <row r="856" spans="2:16" ht="13" hidden="1" outlineLevel="1" x14ac:dyDescent="0.3">
      <c r="B856" s="14"/>
      <c r="C856" s="13" t="s">
        <v>402</v>
      </c>
      <c r="D856" s="12" t="s">
        <v>41</v>
      </c>
      <c r="E856" s="12" t="s">
        <v>56</v>
      </c>
      <c r="F856" s="69">
        <v>2035.1075000000005</v>
      </c>
      <c r="G856" s="14"/>
      <c r="H856" s="67">
        <f t="shared" ref="H856:P856" si="364">+H677/H$697</f>
        <v>0</v>
      </c>
      <c r="I856" s="67">
        <f t="shared" si="364"/>
        <v>0</v>
      </c>
      <c r="J856" s="67">
        <f t="shared" si="364"/>
        <v>0</v>
      </c>
      <c r="K856" s="67">
        <f t="shared" si="364"/>
        <v>5.2982909613917002</v>
      </c>
      <c r="L856" s="67">
        <f t="shared" si="364"/>
        <v>4.6592656748672088</v>
      </c>
      <c r="M856" s="67">
        <f t="shared" si="364"/>
        <v>3.8876103580551598</v>
      </c>
      <c r="N856" s="67">
        <f t="shared" si="364"/>
        <v>3.0222987217685309</v>
      </c>
      <c r="O856" s="67">
        <f t="shared" si="364"/>
        <v>2.2040894173830092</v>
      </c>
      <c r="P856" s="67">
        <f t="shared" si="364"/>
        <v>1.3771854426033219</v>
      </c>
    </row>
    <row r="857" spans="2:16" ht="13" hidden="1" outlineLevel="1" x14ac:dyDescent="0.3">
      <c r="B857" s="14"/>
      <c r="C857" s="13" t="s">
        <v>453</v>
      </c>
      <c r="D857" s="12" t="s">
        <v>41</v>
      </c>
      <c r="E857" s="12" t="s">
        <v>56</v>
      </c>
      <c r="F857" s="69">
        <v>693.80290571428577</v>
      </c>
      <c r="G857" s="14"/>
      <c r="H857" s="67">
        <f t="shared" ref="H857:P857" si="365">+H678/H$697</f>
        <v>0</v>
      </c>
      <c r="I857" s="67">
        <f t="shared" si="365"/>
        <v>0</v>
      </c>
      <c r="J857" s="67">
        <f t="shared" si="365"/>
        <v>0</v>
      </c>
      <c r="K857" s="67">
        <f t="shared" si="365"/>
        <v>0</v>
      </c>
      <c r="L857" s="67">
        <f t="shared" si="365"/>
        <v>0</v>
      </c>
      <c r="M857" s="67">
        <f t="shared" si="365"/>
        <v>2.2591240400498367</v>
      </c>
      <c r="N857" s="67">
        <f t="shared" si="365"/>
        <v>1.9159461336855894</v>
      </c>
      <c r="O857" s="67">
        <f t="shared" si="365"/>
        <v>1.6010193057646007</v>
      </c>
      <c r="P857" s="67">
        <f t="shared" si="365"/>
        <v>1.2804710161532882</v>
      </c>
    </row>
    <row r="858" spans="2:16" ht="13" hidden="1" outlineLevel="1" x14ac:dyDescent="0.3">
      <c r="B858" s="14"/>
      <c r="C858" s="13" t="s">
        <v>454</v>
      </c>
      <c r="D858" s="12" t="s">
        <v>41</v>
      </c>
      <c r="E858" s="12" t="s">
        <v>56</v>
      </c>
      <c r="F858" s="69">
        <v>130.05675866666664</v>
      </c>
      <c r="G858" s="14"/>
      <c r="H858" s="67">
        <f t="shared" ref="H858:P858" si="366">+H679/H$697</f>
        <v>0</v>
      </c>
      <c r="I858" s="67">
        <f t="shared" si="366"/>
        <v>0</v>
      </c>
      <c r="J858" s="67">
        <f t="shared" si="366"/>
        <v>0</v>
      </c>
      <c r="K858" s="67">
        <f t="shared" si="366"/>
        <v>0</v>
      </c>
      <c r="L858" s="67">
        <f t="shared" si="366"/>
        <v>0</v>
      </c>
      <c r="M858" s="67">
        <f t="shared" si="366"/>
        <v>0.50148668324001011</v>
      </c>
      <c r="N858" s="67">
        <f t="shared" si="366"/>
        <v>0.38487989797214117</v>
      </c>
      <c r="O858" s="67">
        <f t="shared" si="366"/>
        <v>0.27432167142418701</v>
      </c>
      <c r="P858" s="67">
        <f t="shared" si="366"/>
        <v>0.16265962854214039</v>
      </c>
    </row>
    <row r="859" spans="2:16" ht="13" hidden="1" outlineLevel="1" x14ac:dyDescent="0.3">
      <c r="B859" s="14"/>
      <c r="C859" s="13" t="s">
        <v>455</v>
      </c>
      <c r="D859" s="12" t="s">
        <v>41</v>
      </c>
      <c r="E859" s="12" t="s">
        <v>56</v>
      </c>
      <c r="F859" s="69">
        <v>116.49631000000001</v>
      </c>
      <c r="G859" s="14"/>
      <c r="H859" s="67">
        <f t="shared" ref="H859:P859" si="367">+H680/H$697</f>
        <v>0</v>
      </c>
      <c r="I859" s="67">
        <f t="shared" si="367"/>
        <v>0</v>
      </c>
      <c r="J859" s="67">
        <f t="shared" si="367"/>
        <v>0</v>
      </c>
      <c r="K859" s="67">
        <f t="shared" si="367"/>
        <v>0</v>
      </c>
      <c r="L859" s="67">
        <f t="shared" si="367"/>
        <v>0</v>
      </c>
      <c r="M859" s="67">
        <f t="shared" si="367"/>
        <v>0.48577394213720337</v>
      </c>
      <c r="N859" s="67">
        <f t="shared" si="367"/>
        <v>0.35681312041144725</v>
      </c>
      <c r="O859" s="67">
        <f t="shared" si="367"/>
        <v>0.23362316353392734</v>
      </c>
      <c r="P859" s="67">
        <f t="shared" si="367"/>
        <v>0.10942101423843609</v>
      </c>
    </row>
    <row r="860" spans="2:16" ht="13" hidden="1" outlineLevel="1" x14ac:dyDescent="0.3">
      <c r="B860" s="14"/>
      <c r="C860" s="13" t="s">
        <v>456</v>
      </c>
      <c r="D860" s="12" t="s">
        <v>41</v>
      </c>
      <c r="E860" s="12" t="s">
        <v>56</v>
      </c>
      <c r="F860" s="69">
        <v>55.783951833333347</v>
      </c>
      <c r="G860" s="14"/>
      <c r="H860" s="67">
        <f t="shared" ref="H860:P860" si="368">+H681/H$697</f>
        <v>0</v>
      </c>
      <c r="I860" s="67">
        <f t="shared" si="368"/>
        <v>0</v>
      </c>
      <c r="J860" s="67">
        <f t="shared" si="368"/>
        <v>0</v>
      </c>
      <c r="K860" s="67">
        <f t="shared" si="368"/>
        <v>0</v>
      </c>
      <c r="L860" s="67">
        <f t="shared" si="368"/>
        <v>0</v>
      </c>
      <c r="M860" s="67">
        <f t="shared" si="368"/>
        <v>0</v>
      </c>
      <c r="N860" s="67">
        <f t="shared" si="368"/>
        <v>0.20214224173532855</v>
      </c>
      <c r="O860" s="67">
        <f t="shared" si="368"/>
        <v>0.18879963634545946</v>
      </c>
      <c r="P860" s="67">
        <f t="shared" si="368"/>
        <v>0.17485324358339999</v>
      </c>
    </row>
    <row r="861" spans="2:16" ht="13" hidden="1" outlineLevel="1" x14ac:dyDescent="0.3">
      <c r="B861" s="14"/>
      <c r="C861" s="13" t="s">
        <v>457</v>
      </c>
      <c r="D861" s="12" t="s">
        <v>41</v>
      </c>
      <c r="E861" s="12" t="s">
        <v>56</v>
      </c>
      <c r="F861" s="69">
        <v>1179.8924204999998</v>
      </c>
      <c r="G861" s="14"/>
      <c r="H861" s="67">
        <f t="shared" ref="H861:P861" si="369">+H682/H$697</f>
        <v>0</v>
      </c>
      <c r="I861" s="67">
        <f t="shared" si="369"/>
        <v>0</v>
      </c>
      <c r="J861" s="67">
        <f t="shared" si="369"/>
        <v>0</v>
      </c>
      <c r="K861" s="67">
        <f t="shared" si="369"/>
        <v>0</v>
      </c>
      <c r="L861" s="67">
        <f t="shared" si="369"/>
        <v>0</v>
      </c>
      <c r="M861" s="67">
        <f t="shared" si="369"/>
        <v>0</v>
      </c>
      <c r="N861" s="67">
        <f t="shared" si="369"/>
        <v>4.4508652584434625</v>
      </c>
      <c r="O861" s="67">
        <f t="shared" si="369"/>
        <v>3.9933216022901621</v>
      </c>
      <c r="P861" s="67">
        <f t="shared" si="369"/>
        <v>3.5225715392919965</v>
      </c>
    </row>
    <row r="862" spans="2:16" ht="13" hidden="1" outlineLevel="1" x14ac:dyDescent="0.3">
      <c r="B862" s="14"/>
      <c r="C862" s="13" t="s">
        <v>458</v>
      </c>
      <c r="D862" s="12" t="s">
        <v>41</v>
      </c>
      <c r="E862" s="12" t="s">
        <v>56</v>
      </c>
      <c r="F862" s="69">
        <v>156.67857142857142</v>
      </c>
      <c r="G862" s="14"/>
      <c r="H862" s="67">
        <f t="shared" ref="H862:P862" si="370">+H683/H$697</f>
        <v>0</v>
      </c>
      <c r="I862" s="67">
        <f t="shared" si="370"/>
        <v>0</v>
      </c>
      <c r="J862" s="67">
        <f t="shared" si="370"/>
        <v>0</v>
      </c>
      <c r="K862" s="67">
        <f t="shared" si="370"/>
        <v>0</v>
      </c>
      <c r="L862" s="67">
        <f t="shared" si="370"/>
        <v>0</v>
      </c>
      <c r="M862" s="67">
        <f t="shared" si="370"/>
        <v>0</v>
      </c>
      <c r="N862" s="67">
        <f t="shared" si="370"/>
        <v>0</v>
      </c>
      <c r="O862" s="67">
        <f t="shared" si="370"/>
        <v>0</v>
      </c>
      <c r="P862" s="67">
        <f t="shared" si="370"/>
        <v>1.5903984020940893</v>
      </c>
    </row>
    <row r="863" spans="2:16" ht="13" hidden="1" outlineLevel="1" x14ac:dyDescent="0.3">
      <c r="B863" s="14"/>
      <c r="C863" s="13" t="s">
        <v>459</v>
      </c>
      <c r="D863" s="12" t="s">
        <v>41</v>
      </c>
      <c r="E863" s="12" t="s">
        <v>56</v>
      </c>
      <c r="F863" s="69">
        <v>1527.4956523333335</v>
      </c>
      <c r="G863" s="14"/>
      <c r="H863" s="67">
        <f t="shared" ref="H863:P863" si="371">+H684/H$697</f>
        <v>0</v>
      </c>
      <c r="I863" s="67">
        <f t="shared" si="371"/>
        <v>0</v>
      </c>
      <c r="J863" s="67">
        <f t="shared" si="371"/>
        <v>0</v>
      </c>
      <c r="K863" s="67">
        <f t="shared" si="371"/>
        <v>0</v>
      </c>
      <c r="L863" s="67">
        <f t="shared" si="371"/>
        <v>0</v>
      </c>
      <c r="M863" s="67">
        <f t="shared" si="371"/>
        <v>0</v>
      </c>
      <c r="N863" s="67">
        <f t="shared" si="371"/>
        <v>0</v>
      </c>
      <c r="O863" s="67">
        <f t="shared" si="371"/>
        <v>0</v>
      </c>
      <c r="P863" s="67">
        <f t="shared" si="371"/>
        <v>15.505162081364228</v>
      </c>
    </row>
    <row r="864" spans="2:16" ht="13" hidden="1" outlineLevel="1" x14ac:dyDescent="0.3">
      <c r="B864" s="14"/>
      <c r="C864" s="13" t="s">
        <v>460</v>
      </c>
      <c r="D864" s="12" t="s">
        <v>41</v>
      </c>
      <c r="E864" s="12" t="s">
        <v>56</v>
      </c>
      <c r="F864" s="69">
        <v>550.82194833333335</v>
      </c>
      <c r="G864" s="14"/>
      <c r="H864" s="67">
        <f t="shared" ref="H864:P864" si="372">+H685/H$697</f>
        <v>0</v>
      </c>
      <c r="I864" s="67">
        <f t="shared" si="372"/>
        <v>0</v>
      </c>
      <c r="J864" s="67">
        <f t="shared" si="372"/>
        <v>0</v>
      </c>
      <c r="K864" s="67">
        <f t="shared" si="372"/>
        <v>0</v>
      </c>
      <c r="L864" s="67">
        <f t="shared" si="372"/>
        <v>0</v>
      </c>
      <c r="M864" s="67">
        <f t="shared" si="372"/>
        <v>0</v>
      </c>
      <c r="N864" s="67">
        <f t="shared" si="372"/>
        <v>0</v>
      </c>
      <c r="O864" s="67">
        <f t="shared" si="372"/>
        <v>0</v>
      </c>
      <c r="P864" s="67">
        <f t="shared" si="372"/>
        <v>5.591232664940784</v>
      </c>
    </row>
    <row r="865" spans="2:16" ht="13" hidden="1" outlineLevel="1" x14ac:dyDescent="0.3">
      <c r="B865" s="14"/>
      <c r="C865" s="13" t="s">
        <v>461</v>
      </c>
      <c r="D865" s="12" t="s">
        <v>41</v>
      </c>
      <c r="E865" s="12" t="s">
        <v>56</v>
      </c>
      <c r="F865" s="69">
        <v>115.53089333333334</v>
      </c>
      <c r="G865" s="14"/>
      <c r="H865" s="67">
        <f t="shared" ref="H865:P865" si="373">+H686/H$697</f>
        <v>0</v>
      </c>
      <c r="I865" s="67">
        <f t="shared" si="373"/>
        <v>0</v>
      </c>
      <c r="J865" s="67">
        <f t="shared" si="373"/>
        <v>0</v>
      </c>
      <c r="K865" s="67">
        <f t="shared" si="373"/>
        <v>0</v>
      </c>
      <c r="L865" s="67">
        <f t="shared" si="373"/>
        <v>0</v>
      </c>
      <c r="M865" s="67">
        <f t="shared" si="373"/>
        <v>0</v>
      </c>
      <c r="N865" s="67">
        <f t="shared" si="373"/>
        <v>0</v>
      </c>
      <c r="O865" s="67">
        <f t="shared" si="373"/>
        <v>0</v>
      </c>
      <c r="P865" s="67">
        <f t="shared" si="373"/>
        <v>1.1727203437874194</v>
      </c>
    </row>
    <row r="866" spans="2:16" ht="13" hidden="1" outlineLevel="1" x14ac:dyDescent="0.3">
      <c r="B866" s="14"/>
      <c r="C866" s="13" t="s">
        <v>462</v>
      </c>
      <c r="D866" s="12" t="s">
        <v>41</v>
      </c>
      <c r="E866" s="12" t="s">
        <v>56</v>
      </c>
      <c r="F866" s="69">
        <v>7624.4032120297452</v>
      </c>
      <c r="G866" s="14"/>
      <c r="H866" s="67">
        <f t="shared" ref="H866:P866" si="374">+H687/H$697</f>
        <v>3.1991111111111109E-2</v>
      </c>
      <c r="I866" s="67">
        <f t="shared" si="374"/>
        <v>2.6561663257449659</v>
      </c>
      <c r="J866" s="67">
        <f t="shared" si="374"/>
        <v>28.657195317804614</v>
      </c>
      <c r="K866" s="67">
        <f t="shared" si="374"/>
        <v>18.764878088655095</v>
      </c>
      <c r="L866" s="67">
        <f t="shared" si="374"/>
        <v>12.671540391463902</v>
      </c>
      <c r="M866" s="67">
        <f t="shared" si="374"/>
        <v>7.5626764276469443</v>
      </c>
      <c r="N866" s="67">
        <f t="shared" si="374"/>
        <v>0</v>
      </c>
      <c r="O866" s="67">
        <f t="shared" si="374"/>
        <v>0</v>
      </c>
      <c r="P866" s="67">
        <f t="shared" si="374"/>
        <v>0</v>
      </c>
    </row>
    <row r="867" spans="2:16" collapsed="1" x14ac:dyDescent="0.25"/>
    <row r="868" spans="2:16" ht="13" x14ac:dyDescent="0.3">
      <c r="B868" s="3" t="s">
        <v>133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70" spans="2:16" ht="13" x14ac:dyDescent="0.3">
      <c r="B870" s="14" t="s">
        <v>467</v>
      </c>
    </row>
    <row r="871" spans="2:16" ht="13" hidden="1" outlineLevel="1" x14ac:dyDescent="0.3">
      <c r="B871" s="14"/>
      <c r="C871" s="13" t="s">
        <v>468</v>
      </c>
      <c r="D871" s="12" t="s">
        <v>41</v>
      </c>
      <c r="E871" s="12" t="s">
        <v>56</v>
      </c>
      <c r="F871" s="69">
        <v>234302.00857500001</v>
      </c>
      <c r="H871" s="67">
        <f t="shared" ref="H871:P871" si="375">+IFERROR(AVERAGEIF(G702:H702,no_cero),0)</f>
        <v>301.03949708333334</v>
      </c>
      <c r="I871" s="67">
        <f t="shared" si="375"/>
        <v>291.65693260915691</v>
      </c>
      <c r="J871" s="67">
        <f t="shared" si="375"/>
        <v>280.08617744116668</v>
      </c>
      <c r="K871" s="67">
        <f t="shared" si="375"/>
        <v>277.1426926098581</v>
      </c>
      <c r="L871" s="67">
        <f t="shared" si="375"/>
        <v>281.9704346922988</v>
      </c>
      <c r="M871" s="67">
        <f t="shared" si="375"/>
        <v>285.8143851335501</v>
      </c>
      <c r="N871" s="67">
        <f t="shared" si="375"/>
        <v>271.1178235475727</v>
      </c>
      <c r="O871" s="67">
        <f t="shared" si="375"/>
        <v>249.08967903896786</v>
      </c>
      <c r="P871" s="67">
        <f t="shared" si="375"/>
        <v>235.79365354632756</v>
      </c>
    </row>
    <row r="872" spans="2:16" hidden="1" outlineLevel="1" x14ac:dyDescent="0.25">
      <c r="C872" s="13" t="s">
        <v>64</v>
      </c>
      <c r="D872" s="12" t="s">
        <v>41</v>
      </c>
      <c r="E872" s="12" t="s">
        <v>56</v>
      </c>
      <c r="F872" s="69">
        <v>139598.61547499997</v>
      </c>
      <c r="H872" s="67">
        <f t="shared" ref="H872:P872" si="376">+IFERROR(AVERAGEIF(G703:H703,no_cero),0)</f>
        <v>266.23284875000002</v>
      </c>
      <c r="I872" s="67">
        <f t="shared" si="376"/>
        <v>248.59910735706075</v>
      </c>
      <c r="J872" s="67">
        <f t="shared" si="376"/>
        <v>217.778320878165</v>
      </c>
      <c r="K872" s="67">
        <f t="shared" si="376"/>
        <v>191.57284833226174</v>
      </c>
      <c r="L872" s="67">
        <f t="shared" si="376"/>
        <v>167.61134831600273</v>
      </c>
      <c r="M872" s="67">
        <f t="shared" si="376"/>
        <v>143.48573946557514</v>
      </c>
      <c r="N872" s="67">
        <f t="shared" si="376"/>
        <v>115.55047976922906</v>
      </c>
      <c r="O872" s="67">
        <f t="shared" si="376"/>
        <v>86.833027010866829</v>
      </c>
      <c r="P872" s="67">
        <f t="shared" si="376"/>
        <v>58.758751173237414</v>
      </c>
    </row>
    <row r="873" spans="2:16" collapsed="1" x14ac:dyDescent="0.25"/>
    <row r="874" spans="2:16" ht="13" x14ac:dyDescent="0.3">
      <c r="B874" s="14" t="s">
        <v>324</v>
      </c>
      <c r="C874" s="13"/>
      <c r="D874" s="13"/>
      <c r="E874" s="13"/>
      <c r="F874" s="13"/>
      <c r="G874" s="13"/>
      <c r="H874" s="13"/>
      <c r="I874" s="271"/>
      <c r="J874" s="271"/>
      <c r="K874" s="271"/>
      <c r="L874" s="271"/>
      <c r="M874" s="271"/>
      <c r="N874" s="271"/>
      <c r="O874" s="271"/>
      <c r="P874" s="271"/>
    </row>
    <row r="875" spans="2:16" hidden="1" outlineLevel="1" x14ac:dyDescent="0.25">
      <c r="C875" s="13" t="s">
        <v>317</v>
      </c>
      <c r="D875" s="12" t="s">
        <v>41</v>
      </c>
      <c r="E875" s="12" t="s">
        <v>56</v>
      </c>
      <c r="F875" s="69">
        <v>20.217055103158366</v>
      </c>
      <c r="G875" s="13"/>
      <c r="H875" s="67">
        <f t="shared" ref="H875:P875" si="377">+IFERROR(AVERAGEIF(G706:H706,no_cero),0)</f>
        <v>0</v>
      </c>
      <c r="I875" s="67">
        <f t="shared" si="377"/>
        <v>4.9497356398844249E-2</v>
      </c>
      <c r="J875" s="67">
        <f t="shared" si="377"/>
        <v>4.6346637640377858E-2</v>
      </c>
      <c r="K875" s="67">
        <f t="shared" si="377"/>
        <v>4.0119475542589031E-2</v>
      </c>
      <c r="L875" s="67">
        <f t="shared" si="377"/>
        <v>3.4472044147122988E-2</v>
      </c>
      <c r="M875" s="67">
        <f t="shared" si="377"/>
        <v>2.816223777199147E-2</v>
      </c>
      <c r="N875" s="67">
        <f t="shared" si="377"/>
        <v>1.9813710588675836E-2</v>
      </c>
      <c r="O875" s="67">
        <f t="shared" si="377"/>
        <v>1.1131930340850757E-2</v>
      </c>
      <c r="P875" s="67">
        <f t="shared" si="377"/>
        <v>7.0598589573534079E-3</v>
      </c>
    </row>
    <row r="876" spans="2:16" hidden="1" outlineLevel="1" x14ac:dyDescent="0.25">
      <c r="C876" s="13" t="s">
        <v>318</v>
      </c>
      <c r="D876" s="12" t="s">
        <v>41</v>
      </c>
      <c r="E876" s="12" t="s">
        <v>56</v>
      </c>
      <c r="F876" s="69">
        <v>17.629194852031205</v>
      </c>
      <c r="G876" s="13"/>
      <c r="H876" s="67">
        <f t="shared" ref="H876:P876" si="378">+IFERROR(AVERAGEIF(G707:H707,no_cero),0)</f>
        <v>0</v>
      </c>
      <c r="I876" s="67">
        <f t="shared" si="378"/>
        <v>2.4384997916261891E-2</v>
      </c>
      <c r="J876" s="67">
        <f t="shared" si="378"/>
        <v>2.4194024183496726E-2</v>
      </c>
      <c r="K876" s="67">
        <f t="shared" si="378"/>
        <v>2.3935737023813373E-2</v>
      </c>
      <c r="L876" s="67">
        <f t="shared" si="378"/>
        <v>2.434823801856989E-2</v>
      </c>
      <c r="M876" s="67">
        <f t="shared" si="378"/>
        <v>2.4675407969330931E-2</v>
      </c>
      <c r="N876" s="67">
        <f t="shared" si="378"/>
        <v>2.3401758633166288E-2</v>
      </c>
      <c r="O876" s="67">
        <f t="shared" si="378"/>
        <v>2.1495419769503577E-2</v>
      </c>
      <c r="P876" s="67">
        <f t="shared" si="378"/>
        <v>2.0342883519068371E-2</v>
      </c>
    </row>
    <row r="877" spans="2:16" hidden="1" outlineLevel="1" x14ac:dyDescent="0.25">
      <c r="C877" s="13" t="s">
        <v>319</v>
      </c>
      <c r="D877" s="12" t="s">
        <v>41</v>
      </c>
      <c r="E877" s="12" t="s">
        <v>56</v>
      </c>
      <c r="F877" s="69">
        <v>1579.2674691913514</v>
      </c>
      <c r="G877" s="13"/>
      <c r="H877" s="67">
        <f t="shared" ref="H877:P877" si="379">+IFERROR(AVERAGEIF(G708:H708,no_cero),0)</f>
        <v>0</v>
      </c>
      <c r="I877" s="67">
        <f t="shared" si="379"/>
        <v>0</v>
      </c>
      <c r="J877" s="67">
        <f t="shared" si="379"/>
        <v>2.5073789886959705</v>
      </c>
      <c r="K877" s="67">
        <f t="shared" si="379"/>
        <v>2.5002318903773979</v>
      </c>
      <c r="L877" s="67">
        <f t="shared" si="379"/>
        <v>2.5430724090137984</v>
      </c>
      <c r="M877" s="67">
        <f t="shared" si="379"/>
        <v>2.5769792922519374</v>
      </c>
      <c r="N877" s="67">
        <f t="shared" si="379"/>
        <v>2.4436961426179238</v>
      </c>
      <c r="O877" s="67">
        <f t="shared" si="379"/>
        <v>2.2443531779160399</v>
      </c>
      <c r="P877" s="67">
        <f t="shared" si="379"/>
        <v>2.1237295996155994</v>
      </c>
    </row>
    <row r="878" spans="2:16" hidden="1" outlineLevel="1" x14ac:dyDescent="0.25">
      <c r="C878" s="13" t="s">
        <v>321</v>
      </c>
      <c r="D878" s="12" t="s">
        <v>41</v>
      </c>
      <c r="E878" s="12" t="s">
        <v>56</v>
      </c>
      <c r="F878" s="69">
        <v>23.06190476190476</v>
      </c>
      <c r="G878" s="13"/>
      <c r="H878" s="67">
        <f t="shared" ref="H878:P878" si="380">+IFERROR(AVERAGEIF(G709:H709,no_cero),0)</f>
        <v>0</v>
      </c>
      <c r="I878" s="67">
        <f t="shared" si="380"/>
        <v>0</v>
      </c>
      <c r="J878" s="67">
        <f t="shared" si="380"/>
        <v>0</v>
      </c>
      <c r="K878" s="67">
        <f t="shared" si="380"/>
        <v>0</v>
      </c>
      <c r="L878" s="67">
        <f t="shared" si="380"/>
        <v>0</v>
      </c>
      <c r="M878" s="67">
        <f t="shared" si="380"/>
        <v>8.579008774227391E-2</v>
      </c>
      <c r="N878" s="67">
        <f t="shared" si="380"/>
        <v>7.7113872822309554E-2</v>
      </c>
      <c r="O878" s="67">
        <f t="shared" si="380"/>
        <v>6.1212488148745331E-2</v>
      </c>
      <c r="P878" s="67">
        <f t="shared" si="380"/>
        <v>4.7955112773695775E-2</v>
      </c>
    </row>
    <row r="879" spans="2:16" hidden="1" outlineLevel="1" x14ac:dyDescent="0.25">
      <c r="C879" s="13" t="s">
        <v>344</v>
      </c>
      <c r="D879" s="12" t="s">
        <v>41</v>
      </c>
      <c r="E879" s="12" t="s">
        <v>56</v>
      </c>
      <c r="F879" s="69">
        <v>966.27806903040664</v>
      </c>
      <c r="G879" s="13"/>
      <c r="H879" s="67">
        <f t="shared" ref="H879:P879" si="381">+IFERROR(AVERAGEIF(G710:H710,no_cero),0)</f>
        <v>0.56267043497432523</v>
      </c>
      <c r="I879" s="67">
        <f t="shared" si="381"/>
        <v>0.69218537269146174</v>
      </c>
      <c r="J879" s="67">
        <f t="shared" si="381"/>
        <v>1.3519514335277241</v>
      </c>
      <c r="K879" s="67">
        <f t="shared" si="381"/>
        <v>1.7830304190712565</v>
      </c>
      <c r="L879" s="67">
        <f t="shared" si="381"/>
        <v>1.6123721030712841</v>
      </c>
      <c r="M879" s="67">
        <f t="shared" si="381"/>
        <v>1.4188635223094255</v>
      </c>
      <c r="N879" s="67">
        <f t="shared" si="381"/>
        <v>1.1265806898796404</v>
      </c>
      <c r="O879" s="67">
        <f t="shared" si="381"/>
        <v>0.81191342839621949</v>
      </c>
      <c r="P879" s="67">
        <f t="shared" si="381"/>
        <v>0.66750659700510406</v>
      </c>
    </row>
    <row r="880" spans="2:16" hidden="1" outlineLevel="1" x14ac:dyDescent="0.25">
      <c r="C880" s="13" t="s">
        <v>345</v>
      </c>
      <c r="D880" s="12" t="s">
        <v>41</v>
      </c>
      <c r="E880" s="12" t="s">
        <v>56</v>
      </c>
      <c r="F880" s="69">
        <v>6396.5778306372449</v>
      </c>
      <c r="G880" s="13"/>
      <c r="H880" s="67">
        <f t="shared" ref="H880:P880" si="382">+IFERROR(AVERAGEIF(G711:H711,no_cero),0)</f>
        <v>2.2811991550080828</v>
      </c>
      <c r="I880" s="67">
        <f t="shared" si="382"/>
        <v>5.4369332083857334</v>
      </c>
      <c r="J880" s="67">
        <f t="shared" si="382"/>
        <v>9.8635528402810184</v>
      </c>
      <c r="K880" s="67">
        <f t="shared" si="382"/>
        <v>10.979203127289235</v>
      </c>
      <c r="L880" s="67">
        <f t="shared" si="382"/>
        <v>10.559378269545761</v>
      </c>
      <c r="M880" s="67">
        <f t="shared" si="382"/>
        <v>9.5131245287238038</v>
      </c>
      <c r="N880" s="67">
        <f t="shared" si="382"/>
        <v>7.6272917223819121</v>
      </c>
      <c r="O880" s="67">
        <f t="shared" si="382"/>
        <v>5.5882926296452293</v>
      </c>
      <c r="P880" s="67">
        <f t="shared" si="382"/>
        <v>4.1516511455342169</v>
      </c>
    </row>
    <row r="881" spans="2:16" hidden="1" outlineLevel="1" x14ac:dyDescent="0.25">
      <c r="C881" s="13" t="s">
        <v>346</v>
      </c>
      <c r="D881" s="12" t="s">
        <v>41</v>
      </c>
      <c r="E881" s="12" t="s">
        <v>56</v>
      </c>
      <c r="F881" s="69">
        <v>67.985722500000051</v>
      </c>
      <c r="G881" s="13"/>
      <c r="H881" s="67">
        <f t="shared" ref="H881:P881" si="383">+IFERROR(AVERAGEIF(G712:H712,no_cero),0)</f>
        <v>0</v>
      </c>
      <c r="I881" s="67">
        <f t="shared" si="383"/>
        <v>0.46214295227906532</v>
      </c>
      <c r="J881" s="67">
        <f t="shared" si="383"/>
        <v>0.30040567544616698</v>
      </c>
      <c r="K881" s="67">
        <f t="shared" si="383"/>
        <v>0.13866839861326863</v>
      </c>
      <c r="L881" s="67">
        <f t="shared" si="383"/>
        <v>0</v>
      </c>
      <c r="M881" s="67">
        <f t="shared" si="383"/>
        <v>4.6290507213599653E-2</v>
      </c>
      <c r="N881" s="67">
        <f t="shared" si="383"/>
        <v>3.4546620785472451E-2</v>
      </c>
      <c r="O881" s="67">
        <f t="shared" si="383"/>
        <v>1.2252871444316993E-2</v>
      </c>
      <c r="P881" s="67">
        <f t="shared" si="383"/>
        <v>8.5150426564441857E-4</v>
      </c>
    </row>
    <row r="882" spans="2:16" ht="13" hidden="1" outlineLevel="1" x14ac:dyDescent="0.3">
      <c r="C882" s="13" t="s">
        <v>347</v>
      </c>
      <c r="D882" s="12" t="s">
        <v>41</v>
      </c>
      <c r="E882" s="12" t="s">
        <v>56</v>
      </c>
      <c r="F882" s="69">
        <v>5133.1373751502015</v>
      </c>
      <c r="G882" s="14"/>
      <c r="H882" s="67">
        <f t="shared" ref="H882:P882" si="384">+IFERROR(AVERAGEIF(G713:H713,no_cero),0)</f>
        <v>1.8900256055125357</v>
      </c>
      <c r="I882" s="67">
        <f t="shared" si="384"/>
        <v>2.5643985579478992</v>
      </c>
      <c r="J882" s="67">
        <f t="shared" si="384"/>
        <v>3.8930804552197591</v>
      </c>
      <c r="K882" s="67">
        <f t="shared" si="384"/>
        <v>4.9223991953232193</v>
      </c>
      <c r="L882" s="67">
        <f t="shared" si="384"/>
        <v>7.302247452867098</v>
      </c>
      <c r="M882" s="67">
        <f t="shared" si="384"/>
        <v>9.2998136473453901</v>
      </c>
      <c r="N882" s="67">
        <f t="shared" si="384"/>
        <v>8.6126180173071472</v>
      </c>
      <c r="O882" s="67">
        <f t="shared" si="384"/>
        <v>7.3948191297253221</v>
      </c>
      <c r="P882" s="67">
        <f t="shared" si="384"/>
        <v>6.4742590387506294</v>
      </c>
    </row>
    <row r="883" spans="2:16" collapsed="1" x14ac:dyDescent="0.25">
      <c r="C883" s="13"/>
      <c r="D883" s="12"/>
      <c r="E883" s="12"/>
      <c r="F883" s="69"/>
      <c r="G883" s="13"/>
      <c r="H883" s="67"/>
      <c r="I883" s="67"/>
      <c r="J883" s="67"/>
      <c r="K883" s="67"/>
      <c r="L883" s="67"/>
      <c r="M883" s="67"/>
      <c r="N883" s="67"/>
      <c r="O883" s="67"/>
      <c r="P883" s="67"/>
    </row>
    <row r="884" spans="2:16" ht="13" x14ac:dyDescent="0.3">
      <c r="B884" s="14" t="s">
        <v>320</v>
      </c>
      <c r="C884" s="13"/>
      <c r="D884" s="13"/>
      <c r="E884" s="12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2:16" ht="13" hidden="1" outlineLevel="1" x14ac:dyDescent="0.3">
      <c r="B885" s="14"/>
      <c r="C885" s="13" t="s">
        <v>323</v>
      </c>
      <c r="D885" s="12" t="s">
        <v>41</v>
      </c>
      <c r="E885" s="12" t="s">
        <v>56</v>
      </c>
      <c r="F885" s="69">
        <v>639.10436642857155</v>
      </c>
      <c r="G885" s="14"/>
      <c r="H885" s="67">
        <f t="shared" ref="H885:P885" si="385">+IFERROR(AVERAGEIF(G716:H716,no_cero),0)</f>
        <v>0</v>
      </c>
      <c r="I885" s="67">
        <f t="shared" si="385"/>
        <v>0</v>
      </c>
      <c r="J885" s="67">
        <f t="shared" si="385"/>
        <v>1.2455501169221046</v>
      </c>
      <c r="K885" s="67">
        <f t="shared" si="385"/>
        <v>1.2537544967866254</v>
      </c>
      <c r="L885" s="67">
        <f t="shared" si="385"/>
        <v>1.1693688595958118</v>
      </c>
      <c r="M885" s="67">
        <f t="shared" si="385"/>
        <v>0.98696901691175132</v>
      </c>
      <c r="N885" s="67">
        <f t="shared" si="385"/>
        <v>0.90412560379207196</v>
      </c>
      <c r="O885" s="67">
        <f t="shared" si="385"/>
        <v>0.77289529481349495</v>
      </c>
      <c r="P885" s="67">
        <f t="shared" si="385"/>
        <v>0.49408697237915622</v>
      </c>
    </row>
    <row r="886" spans="2:16" ht="13" hidden="1" outlineLevel="1" x14ac:dyDescent="0.3">
      <c r="B886" s="14"/>
      <c r="C886" s="13" t="s">
        <v>326</v>
      </c>
      <c r="D886" s="12" t="s">
        <v>41</v>
      </c>
      <c r="E886" s="12" t="s">
        <v>56</v>
      </c>
      <c r="F886" s="69">
        <v>2291.2320669362921</v>
      </c>
      <c r="G886" s="14"/>
      <c r="H886" s="67">
        <f t="shared" ref="H886:P886" si="386">+IFERROR(AVERAGEIF(G717:H717,no_cero),0)</f>
        <v>5.6574926260141503</v>
      </c>
      <c r="I886" s="67">
        <f t="shared" si="386"/>
        <v>5.2421674186302596</v>
      </c>
      <c r="J886" s="67">
        <f t="shared" si="386"/>
        <v>4.589171941384965</v>
      </c>
      <c r="K886" s="67">
        <f t="shared" si="386"/>
        <v>3.6559604447914595</v>
      </c>
      <c r="L886" s="67">
        <f t="shared" si="386"/>
        <v>2.2839913251321775</v>
      </c>
      <c r="M886" s="67">
        <f t="shared" si="386"/>
        <v>1.2088826516769278</v>
      </c>
      <c r="N886" s="67">
        <f t="shared" si="386"/>
        <v>0.81020187114885889</v>
      </c>
      <c r="O886" s="67">
        <f t="shared" si="386"/>
        <v>0</v>
      </c>
      <c r="P886" s="67">
        <f t="shared" si="386"/>
        <v>0</v>
      </c>
    </row>
    <row r="887" spans="2:16" ht="13" hidden="1" outlineLevel="1" x14ac:dyDescent="0.3">
      <c r="B887" s="14"/>
      <c r="C887" s="13" t="s">
        <v>327</v>
      </c>
      <c r="D887" s="12" t="s">
        <v>41</v>
      </c>
      <c r="E887" s="12" t="s">
        <v>56</v>
      </c>
      <c r="F887" s="69">
        <v>1427.4094824727727</v>
      </c>
      <c r="G887" s="14"/>
      <c r="H887" s="67">
        <f t="shared" ref="H887:P887" si="387">+IFERROR(AVERAGEIF(G718:H718,no_cero),0)</f>
        <v>4.8345837748239155</v>
      </c>
      <c r="I887" s="67">
        <f t="shared" si="387"/>
        <v>4.2943624145200081</v>
      </c>
      <c r="J887" s="67">
        <f t="shared" si="387"/>
        <v>3.2683236469297832</v>
      </c>
      <c r="K887" s="67">
        <f t="shared" si="387"/>
        <v>2.2965492664265081</v>
      </c>
      <c r="L887" s="67">
        <f t="shared" si="387"/>
        <v>1.3314990894980381</v>
      </c>
      <c r="M887" s="67">
        <f t="shared" si="387"/>
        <v>0.85240588578652521</v>
      </c>
      <c r="N887" s="67">
        <f t="shared" si="387"/>
        <v>0</v>
      </c>
      <c r="O887" s="67">
        <f t="shared" si="387"/>
        <v>0</v>
      </c>
      <c r="P887" s="67">
        <f t="shared" si="387"/>
        <v>0</v>
      </c>
    </row>
    <row r="888" spans="2:16" ht="13" hidden="1" outlineLevel="1" x14ac:dyDescent="0.3">
      <c r="B888" s="14"/>
      <c r="C888" s="13" t="s">
        <v>328</v>
      </c>
      <c r="D888" s="12" t="s">
        <v>41</v>
      </c>
      <c r="E888" s="12" t="s">
        <v>56</v>
      </c>
      <c r="F888" s="69">
        <v>23.901239081062879</v>
      </c>
      <c r="G888" s="14"/>
      <c r="H888" s="67">
        <f t="shared" ref="H888:P888" si="388">+IFERROR(AVERAGEIF(G719:H719,no_cero),0)</f>
        <v>6.5469538296992411E-2</v>
      </c>
      <c r="I888" s="67">
        <f t="shared" si="388"/>
        <v>5.8153904793763235E-2</v>
      </c>
      <c r="J888" s="67">
        <f t="shared" si="388"/>
        <v>4.4259379557273944E-2</v>
      </c>
      <c r="K888" s="67">
        <f t="shared" si="388"/>
        <v>3.1099706472904255E-2</v>
      </c>
      <c r="L888" s="67">
        <f t="shared" si="388"/>
        <v>1.8031093176704753E-2</v>
      </c>
      <c r="M888" s="67">
        <f t="shared" si="388"/>
        <v>1.1543261231614829E-2</v>
      </c>
      <c r="N888" s="67">
        <f t="shared" si="388"/>
        <v>0</v>
      </c>
      <c r="O888" s="67">
        <f t="shared" si="388"/>
        <v>0</v>
      </c>
      <c r="P888" s="67">
        <f t="shared" si="388"/>
        <v>0</v>
      </c>
    </row>
    <row r="889" spans="2:16" ht="13" hidden="1" outlineLevel="1" x14ac:dyDescent="0.3">
      <c r="B889" s="14"/>
      <c r="C889" s="13" t="s">
        <v>329</v>
      </c>
      <c r="D889" s="12" t="s">
        <v>41</v>
      </c>
      <c r="E889" s="12" t="s">
        <v>56</v>
      </c>
      <c r="F889" s="69">
        <v>52.943318326908248</v>
      </c>
      <c r="G889" s="14"/>
      <c r="H889" s="67">
        <f t="shared" ref="H889:P889" si="389">+IFERROR(AVERAGEIF(G720:H720,no_cero),0)</f>
        <v>0</v>
      </c>
      <c r="I889" s="67">
        <f t="shared" si="389"/>
        <v>0.17093685053457044</v>
      </c>
      <c r="J889" s="67">
        <f t="shared" si="389"/>
        <v>0.15402226387718582</v>
      </c>
      <c r="K889" s="67">
        <f t="shared" si="389"/>
        <v>0.12024197211387053</v>
      </c>
      <c r="L889" s="67">
        <f t="shared" si="389"/>
        <v>8.7338365215143737E-2</v>
      </c>
      <c r="M889" s="67">
        <f t="shared" si="389"/>
        <v>5.371026583738113E-2</v>
      </c>
      <c r="N889" s="67">
        <f t="shared" si="389"/>
        <v>1.8060039395865073E-2</v>
      </c>
      <c r="O889" s="67">
        <f t="shared" si="389"/>
        <v>1.0553829499237118E-8</v>
      </c>
      <c r="P889" s="67">
        <f t="shared" si="389"/>
        <v>1.05669225754657E-8</v>
      </c>
    </row>
    <row r="890" spans="2:16" ht="13" hidden="1" outlineLevel="1" x14ac:dyDescent="0.3">
      <c r="B890" s="14"/>
      <c r="C890" s="13" t="s">
        <v>330</v>
      </c>
      <c r="D890" s="12" t="s">
        <v>41</v>
      </c>
      <c r="E890" s="12" t="s">
        <v>56</v>
      </c>
      <c r="F890" s="69">
        <v>133.45485999999997</v>
      </c>
      <c r="G890" s="14"/>
      <c r="H890" s="67">
        <f t="shared" ref="H890:P890" si="390">+IFERROR(AVERAGEIF(G721:H721,no_cero),0)</f>
        <v>0</v>
      </c>
      <c r="I890" s="67">
        <f t="shared" si="390"/>
        <v>0</v>
      </c>
      <c r="J890" s="67">
        <f t="shared" si="390"/>
        <v>0</v>
      </c>
      <c r="K890" s="67">
        <f t="shared" si="390"/>
        <v>0</v>
      </c>
      <c r="L890" s="67">
        <f t="shared" si="390"/>
        <v>0</v>
      </c>
      <c r="M890" s="67">
        <f t="shared" si="390"/>
        <v>0.5170241525559196</v>
      </c>
      <c r="N890" s="67">
        <f t="shared" si="390"/>
        <v>0.45638156441530575</v>
      </c>
      <c r="O890" s="67">
        <f t="shared" si="390"/>
        <v>0.33821143327544934</v>
      </c>
      <c r="P890" s="67">
        <f t="shared" si="390"/>
        <v>0.22258923790370025</v>
      </c>
    </row>
    <row r="891" spans="2:16" ht="13" hidden="1" outlineLevel="1" x14ac:dyDescent="0.3">
      <c r="B891" s="14"/>
      <c r="C891" s="13" t="s">
        <v>63</v>
      </c>
      <c r="D891" s="12" t="s">
        <v>41</v>
      </c>
      <c r="E891" s="12" t="s">
        <v>56</v>
      </c>
      <c r="F891" s="69">
        <v>3241.9175742963953</v>
      </c>
      <c r="G891" s="14"/>
      <c r="H891" s="67">
        <f t="shared" ref="H891:P891" si="391">+IFERROR(AVERAGEIF(G722:H722,no_cero),0)</f>
        <v>2.2809984281167774</v>
      </c>
      <c r="I891" s="67">
        <f t="shared" si="391"/>
        <v>2.3111920412185123</v>
      </c>
      <c r="J891" s="67">
        <f t="shared" si="391"/>
        <v>1.8873955927155308</v>
      </c>
      <c r="K891" s="67">
        <f t="shared" si="391"/>
        <v>1.0448446479309448</v>
      </c>
      <c r="L891" s="67">
        <f t="shared" si="391"/>
        <v>1.16456246826142</v>
      </c>
      <c r="M891" s="67">
        <f t="shared" si="391"/>
        <v>2.3994330739901746</v>
      </c>
      <c r="N891" s="67">
        <f t="shared" si="391"/>
        <v>6.1796098388343319</v>
      </c>
      <c r="O891" s="67">
        <f t="shared" si="391"/>
        <v>7.8264542194517812</v>
      </c>
      <c r="P891" s="67">
        <f t="shared" si="391"/>
        <v>5.9609013437735818</v>
      </c>
    </row>
    <row r="892" spans="2:16" ht="13" hidden="1" outlineLevel="1" x14ac:dyDescent="0.3">
      <c r="B892" s="14"/>
      <c r="C892" s="13" t="s">
        <v>331</v>
      </c>
      <c r="D892" s="12" t="s">
        <v>41</v>
      </c>
      <c r="E892" s="12" t="s">
        <v>56</v>
      </c>
      <c r="F892" s="69">
        <v>887.14197583333339</v>
      </c>
      <c r="G892" s="14"/>
      <c r="H892" s="67">
        <f t="shared" ref="H892:P892" si="392">+IFERROR(AVERAGEIF(G723:H723,no_cero),0)</f>
        <v>0</v>
      </c>
      <c r="I892" s="67">
        <f t="shared" si="392"/>
        <v>0</v>
      </c>
      <c r="J892" s="67">
        <f t="shared" si="392"/>
        <v>2.3114466630802681</v>
      </c>
      <c r="K892" s="67">
        <f t="shared" si="392"/>
        <v>2.1365094496043544</v>
      </c>
      <c r="L892" s="67">
        <f t="shared" si="392"/>
        <v>1.8081557342602581</v>
      </c>
      <c r="M892" s="67">
        <f t="shared" si="392"/>
        <v>1.4758453011254806</v>
      </c>
      <c r="N892" s="67">
        <f t="shared" si="392"/>
        <v>1.1023105378578781</v>
      </c>
      <c r="O892" s="67">
        <f t="shared" si="392"/>
        <v>0.72060872272617194</v>
      </c>
      <c r="P892" s="67">
        <f t="shared" si="392"/>
        <v>0.34521567295206335</v>
      </c>
    </row>
    <row r="893" spans="2:16" ht="13" hidden="1" outlineLevel="1" x14ac:dyDescent="0.3">
      <c r="B893" s="14"/>
      <c r="C893" s="13" t="s">
        <v>332</v>
      </c>
      <c r="D893" s="12" t="s">
        <v>41</v>
      </c>
      <c r="E893" s="12" t="s">
        <v>56</v>
      </c>
      <c r="F893" s="69">
        <v>1.6405866666666671</v>
      </c>
      <c r="G893" s="14"/>
      <c r="H893" s="67">
        <f t="shared" ref="H893:P893" si="393">+IFERROR(AVERAGEIF(G724:H724,no_cero),0)</f>
        <v>0</v>
      </c>
      <c r="I893" s="67">
        <f t="shared" si="393"/>
        <v>8.642350051260279E-3</v>
      </c>
      <c r="J893" s="67">
        <f t="shared" si="393"/>
        <v>6.9765743877142341E-3</v>
      </c>
      <c r="K893" s="67">
        <f t="shared" si="393"/>
        <v>3.6388941973766143E-3</v>
      </c>
      <c r="L893" s="67">
        <f t="shared" si="393"/>
        <v>1.9669896705850399E-3</v>
      </c>
      <c r="M893" s="67">
        <f t="shared" si="393"/>
        <v>0</v>
      </c>
      <c r="N893" s="67">
        <f t="shared" si="393"/>
        <v>0</v>
      </c>
      <c r="O893" s="67">
        <f t="shared" si="393"/>
        <v>0</v>
      </c>
      <c r="P893" s="67">
        <f t="shared" si="393"/>
        <v>0</v>
      </c>
    </row>
    <row r="894" spans="2:16" ht="13" hidden="1" outlineLevel="1" x14ac:dyDescent="0.3">
      <c r="B894" s="14"/>
      <c r="C894" s="13" t="s">
        <v>333</v>
      </c>
      <c r="D894" s="12" t="s">
        <v>41</v>
      </c>
      <c r="E894" s="12" t="s">
        <v>56</v>
      </c>
      <c r="F894" s="69">
        <v>123.41220722222221</v>
      </c>
      <c r="G894" s="14"/>
      <c r="H894" s="67">
        <f t="shared" ref="H894:P894" si="394">+IFERROR(AVERAGEIF(G725:H725,no_cero),0)</f>
        <v>0</v>
      </c>
      <c r="I894" s="67">
        <f t="shared" si="394"/>
        <v>0.68662251739820124</v>
      </c>
      <c r="J894" s="67">
        <f t="shared" si="394"/>
        <v>0.55427899130394698</v>
      </c>
      <c r="K894" s="67">
        <f t="shared" si="394"/>
        <v>0.42193546520969272</v>
      </c>
      <c r="L894" s="67">
        <f t="shared" si="394"/>
        <v>0</v>
      </c>
      <c r="M894" s="67">
        <f t="shared" si="394"/>
        <v>0</v>
      </c>
      <c r="N894" s="67">
        <f t="shared" si="394"/>
        <v>0</v>
      </c>
      <c r="O894" s="67">
        <f t="shared" si="394"/>
        <v>0</v>
      </c>
      <c r="P894" s="67">
        <f t="shared" si="394"/>
        <v>0</v>
      </c>
    </row>
    <row r="895" spans="2:16" ht="13" hidden="1" outlineLevel="1" x14ac:dyDescent="0.3">
      <c r="B895" s="14"/>
      <c r="C895" s="13" t="s">
        <v>334</v>
      </c>
      <c r="D895" s="12" t="s">
        <v>41</v>
      </c>
      <c r="E895" s="12" t="s">
        <v>56</v>
      </c>
      <c r="F895" s="69">
        <v>11.963833333333337</v>
      </c>
      <c r="G895" s="14"/>
      <c r="H895" s="67">
        <f t="shared" ref="H895:P895" si="395">+IFERROR(AVERAGEIF(G726:H726,no_cero),0)</f>
        <v>0</v>
      </c>
      <c r="I895" s="67">
        <f t="shared" si="395"/>
        <v>2.951033721753156E-2</v>
      </c>
      <c r="J895" s="67">
        <f t="shared" si="395"/>
        <v>2.7384037259001355E-2</v>
      </c>
      <c r="K895" s="67">
        <f t="shared" si="395"/>
        <v>2.3148298402731131E-2</v>
      </c>
      <c r="L895" s="67">
        <f t="shared" si="395"/>
        <v>1.9150900058009658E-2</v>
      </c>
      <c r="M895" s="67">
        <f t="shared" si="395"/>
        <v>1.509533128691304E-2</v>
      </c>
      <c r="N895" s="67">
        <f t="shared" si="395"/>
        <v>1.0602197263845052E-2</v>
      </c>
      <c r="O895" s="67">
        <f t="shared" si="395"/>
        <v>6.0245791817694133E-3</v>
      </c>
      <c r="P895" s="67">
        <f t="shared" si="395"/>
        <v>1.8862428993233007E-3</v>
      </c>
    </row>
    <row r="896" spans="2:16" ht="13" hidden="1" outlineLevel="1" x14ac:dyDescent="0.3">
      <c r="B896" s="14"/>
      <c r="C896" s="13" t="s">
        <v>335</v>
      </c>
      <c r="D896" s="12" t="s">
        <v>41</v>
      </c>
      <c r="E896" s="12" t="s">
        <v>56</v>
      </c>
      <c r="F896" s="69">
        <v>1834.0001666666672</v>
      </c>
      <c r="G896" s="14"/>
      <c r="H896" s="67">
        <f t="shared" ref="H896:P896" si="396">+IFERROR(AVERAGEIF(G727:H727,no_cero),0)</f>
        <v>0</v>
      </c>
      <c r="I896" s="67">
        <f t="shared" si="396"/>
        <v>0</v>
      </c>
      <c r="J896" s="67">
        <f t="shared" si="396"/>
        <v>4.8343362143363517</v>
      </c>
      <c r="K896" s="67">
        <f t="shared" si="396"/>
        <v>4.4634762624392028</v>
      </c>
      <c r="L896" s="67">
        <f t="shared" si="396"/>
        <v>3.7664218344896678</v>
      </c>
      <c r="M896" s="67">
        <f t="shared" si="396"/>
        <v>3.0607159127255277</v>
      </c>
      <c r="N896" s="67">
        <f t="shared" si="396"/>
        <v>2.2691152279801416</v>
      </c>
      <c r="O896" s="67">
        <f t="shared" si="396"/>
        <v>1.4605532059540998</v>
      </c>
      <c r="P896" s="67">
        <f t="shared" si="396"/>
        <v>0.66501449616317743</v>
      </c>
    </row>
    <row r="897" spans="2:16" ht="13" hidden="1" outlineLevel="1" x14ac:dyDescent="0.3">
      <c r="B897" s="14"/>
      <c r="C897" s="13" t="s">
        <v>336</v>
      </c>
      <c r="D897" s="12" t="s">
        <v>41</v>
      </c>
      <c r="E897" s="12" t="s">
        <v>56</v>
      </c>
      <c r="F897" s="69">
        <v>692.16473571428583</v>
      </c>
      <c r="G897" s="14"/>
      <c r="H897" s="67">
        <f t="shared" ref="H897:P897" si="397">+IFERROR(AVERAGEIF(G728:H728,no_cero),0)</f>
        <v>0</v>
      </c>
      <c r="I897" s="67">
        <f t="shared" si="397"/>
        <v>0</v>
      </c>
      <c r="J897" s="67">
        <f t="shared" si="397"/>
        <v>0</v>
      </c>
      <c r="K897" s="67">
        <f t="shared" si="397"/>
        <v>1.7428567248291278</v>
      </c>
      <c r="L897" s="67">
        <f t="shared" si="397"/>
        <v>1.6287384150822632</v>
      </c>
      <c r="M897" s="67">
        <f t="shared" si="397"/>
        <v>1.4624935133201071</v>
      </c>
      <c r="N897" s="67">
        <f t="shared" si="397"/>
        <v>1.2446441491194924</v>
      </c>
      <c r="O897" s="67">
        <f t="shared" si="397"/>
        <v>0.92169435145684275</v>
      </c>
      <c r="P897" s="67">
        <f t="shared" si="397"/>
        <v>0.60569437228773793</v>
      </c>
    </row>
    <row r="898" spans="2:16" ht="13" hidden="1" outlineLevel="1" x14ac:dyDescent="0.3">
      <c r="B898" s="14"/>
      <c r="C898" s="13" t="s">
        <v>337</v>
      </c>
      <c r="D898" s="12" t="s">
        <v>41</v>
      </c>
      <c r="E898" s="12" t="s">
        <v>56</v>
      </c>
      <c r="F898" s="69">
        <v>503.03007000000019</v>
      </c>
      <c r="G898" s="14"/>
      <c r="H898" s="67">
        <f t="shared" ref="H898:P898" si="398">+IFERROR(AVERAGEIF(G729:H729,no_cero),0)</f>
        <v>0</v>
      </c>
      <c r="I898" s="67">
        <f t="shared" si="398"/>
        <v>0</v>
      </c>
      <c r="J898" s="67">
        <f t="shared" si="398"/>
        <v>0</v>
      </c>
      <c r="K898" s="67">
        <f t="shared" si="398"/>
        <v>1.4031549087294097</v>
      </c>
      <c r="L898" s="67">
        <f t="shared" si="398"/>
        <v>1.306440599118432</v>
      </c>
      <c r="M898" s="67">
        <f t="shared" si="398"/>
        <v>1.0951308103877999</v>
      </c>
      <c r="N898" s="67">
        <f t="shared" si="398"/>
        <v>0.85408595053851621</v>
      </c>
      <c r="O898" s="67">
        <f t="shared" si="398"/>
        <v>0.60703184406717337</v>
      </c>
      <c r="P898" s="67">
        <f t="shared" si="398"/>
        <v>0.36478763704940714</v>
      </c>
    </row>
    <row r="899" spans="2:16" ht="13" hidden="1" outlineLevel="1" x14ac:dyDescent="0.3">
      <c r="B899" s="14"/>
      <c r="C899" s="13" t="s">
        <v>338</v>
      </c>
      <c r="D899" s="12" t="s">
        <v>41</v>
      </c>
      <c r="E899" s="12" t="s">
        <v>56</v>
      </c>
      <c r="F899" s="69">
        <v>63.969950476190462</v>
      </c>
      <c r="G899" s="14"/>
      <c r="H899" s="67">
        <f t="shared" ref="H899:P899" si="399">+IFERROR(AVERAGEIF(G730:H730,no_cero),0)</f>
        <v>0</v>
      </c>
      <c r="I899" s="67">
        <f t="shared" si="399"/>
        <v>0</v>
      </c>
      <c r="J899" s="67">
        <f t="shared" si="399"/>
        <v>0</v>
      </c>
      <c r="K899" s="67">
        <f t="shared" si="399"/>
        <v>0</v>
      </c>
      <c r="L899" s="67">
        <f t="shared" si="399"/>
        <v>0</v>
      </c>
      <c r="M899" s="67">
        <f t="shared" si="399"/>
        <v>0.20969037919762301</v>
      </c>
      <c r="N899" s="67">
        <f t="shared" si="399"/>
        <v>0.19340215058878613</v>
      </c>
      <c r="O899" s="67">
        <f t="shared" si="399"/>
        <v>0.16213482535352819</v>
      </c>
      <c r="P899" s="67">
        <f t="shared" si="399"/>
        <v>0.13191702990278448</v>
      </c>
    </row>
    <row r="900" spans="2:16" ht="13" hidden="1" outlineLevel="1" x14ac:dyDescent="0.3">
      <c r="B900" s="14"/>
      <c r="C900" s="13" t="s">
        <v>339</v>
      </c>
      <c r="D900" s="12" t="s">
        <v>41</v>
      </c>
      <c r="E900" s="12" t="s">
        <v>56</v>
      </c>
      <c r="F900" s="69">
        <v>42.390480000000011</v>
      </c>
      <c r="G900" s="14"/>
      <c r="H900" s="67">
        <f t="shared" ref="H900:P900" si="400">+IFERROR(AVERAGEIF(G731:H731,no_cero),0)</f>
        <v>0</v>
      </c>
      <c r="I900" s="67">
        <f t="shared" si="400"/>
        <v>0</v>
      </c>
      <c r="J900" s="67">
        <f t="shared" si="400"/>
        <v>0</v>
      </c>
      <c r="K900" s="67">
        <f t="shared" si="400"/>
        <v>0</v>
      </c>
      <c r="L900" s="67">
        <f t="shared" si="400"/>
        <v>0</v>
      </c>
      <c r="M900" s="67">
        <f t="shared" si="400"/>
        <v>0.19718517350123316</v>
      </c>
      <c r="N900" s="67">
        <f t="shared" si="400"/>
        <v>0.16687868658591787</v>
      </c>
      <c r="O900" s="67">
        <f t="shared" si="400"/>
        <v>0.1074142016645991</v>
      </c>
      <c r="P900" s="67">
        <f t="shared" si="400"/>
        <v>4.8907496768726508E-2</v>
      </c>
    </row>
    <row r="901" spans="2:16" ht="13" hidden="1" outlineLevel="1" x14ac:dyDescent="0.3">
      <c r="B901" s="14"/>
      <c r="C901" s="13" t="s">
        <v>340</v>
      </c>
      <c r="D901" s="12" t="s">
        <v>41</v>
      </c>
      <c r="E901" s="12" t="s">
        <v>56</v>
      </c>
      <c r="F901" s="69">
        <v>208.60078749999997</v>
      </c>
      <c r="G901" s="14"/>
      <c r="H901" s="67">
        <f t="shared" ref="H901:P901" si="401">+IFERROR(AVERAGEIF(G732:H732,no_cero),0)</f>
        <v>0</v>
      </c>
      <c r="I901" s="67">
        <f t="shared" si="401"/>
        <v>0</v>
      </c>
      <c r="J901" s="67">
        <f t="shared" si="401"/>
        <v>0</v>
      </c>
      <c r="K901" s="67">
        <f t="shared" si="401"/>
        <v>0</v>
      </c>
      <c r="L901" s="67">
        <f t="shared" si="401"/>
        <v>0</v>
      </c>
      <c r="M901" s="67">
        <f t="shared" si="401"/>
        <v>0.92010291144299472</v>
      </c>
      <c r="N901" s="67">
        <f t="shared" si="401"/>
        <v>0.78779922044416861</v>
      </c>
      <c r="O901" s="67">
        <f t="shared" si="401"/>
        <v>0.52860109664949972</v>
      </c>
      <c r="P901" s="67">
        <f t="shared" si="401"/>
        <v>0.27388987938435255</v>
      </c>
    </row>
    <row r="902" spans="2:16" ht="13" hidden="1" outlineLevel="1" x14ac:dyDescent="0.3">
      <c r="B902" s="14"/>
      <c r="C902" s="13" t="s">
        <v>341</v>
      </c>
      <c r="D902" s="12" t="s">
        <v>41</v>
      </c>
      <c r="E902" s="12" t="s">
        <v>56</v>
      </c>
      <c r="F902" s="69">
        <v>65.650723809523811</v>
      </c>
      <c r="G902" s="14"/>
      <c r="H902" s="67">
        <f t="shared" ref="H902:P902" si="402">+IFERROR(AVERAGEIF(G733:H733,no_cero),0)</f>
        <v>0</v>
      </c>
      <c r="I902" s="67">
        <f t="shared" si="402"/>
        <v>0</v>
      </c>
      <c r="J902" s="67">
        <f t="shared" si="402"/>
        <v>0</v>
      </c>
      <c r="K902" s="67">
        <f t="shared" si="402"/>
        <v>0</v>
      </c>
      <c r="L902" s="67">
        <f t="shared" si="402"/>
        <v>0</v>
      </c>
      <c r="M902" s="67">
        <f t="shared" si="402"/>
        <v>0.22292988983256662</v>
      </c>
      <c r="N902" s="67">
        <f t="shared" si="402"/>
        <v>0.20362342170478226</v>
      </c>
      <c r="O902" s="67">
        <f t="shared" si="402"/>
        <v>0.16639131285978281</v>
      </c>
      <c r="P902" s="67">
        <f t="shared" si="402"/>
        <v>0.13027112858207746</v>
      </c>
    </row>
    <row r="903" spans="2:16" ht="13" hidden="1" outlineLevel="1" x14ac:dyDescent="0.3">
      <c r="B903" s="14"/>
      <c r="C903" s="13" t="s">
        <v>342</v>
      </c>
      <c r="D903" s="12" t="s">
        <v>41</v>
      </c>
      <c r="E903" s="12" t="s">
        <v>56</v>
      </c>
      <c r="F903" s="69">
        <v>114.97903928571429</v>
      </c>
      <c r="G903" s="14"/>
      <c r="H903" s="67">
        <f t="shared" ref="H903:P903" si="403">+IFERROR(AVERAGEIF(G734:H734,no_cero),0)</f>
        <v>0</v>
      </c>
      <c r="I903" s="67">
        <f t="shared" si="403"/>
        <v>0</v>
      </c>
      <c r="J903" s="67">
        <f t="shared" si="403"/>
        <v>0</v>
      </c>
      <c r="K903" s="67">
        <f t="shared" si="403"/>
        <v>0</v>
      </c>
      <c r="L903" s="67">
        <f t="shared" si="403"/>
        <v>0</v>
      </c>
      <c r="M903" s="67">
        <f t="shared" si="403"/>
        <v>0</v>
      </c>
      <c r="N903" s="67">
        <f t="shared" si="403"/>
        <v>0.46040842068594884</v>
      </c>
      <c r="O903" s="67">
        <f t="shared" si="403"/>
        <v>0.42477630582081471</v>
      </c>
      <c r="P903" s="67">
        <f t="shared" si="403"/>
        <v>0.35283546091689921</v>
      </c>
    </row>
    <row r="904" spans="2:16" ht="13" hidden="1" outlineLevel="1" x14ac:dyDescent="0.3">
      <c r="B904" s="14"/>
      <c r="C904" s="13" t="s">
        <v>343</v>
      </c>
      <c r="D904" s="12" t="s">
        <v>41</v>
      </c>
      <c r="E904" s="12" t="s">
        <v>56</v>
      </c>
      <c r="F904" s="69">
        <v>56.347243333333338</v>
      </c>
      <c r="G904" s="14"/>
      <c r="H904" s="67">
        <f t="shared" ref="H904:P904" si="404">+IFERROR(AVERAGEIF(G735:H735,no_cero),0)</f>
        <v>0</v>
      </c>
      <c r="I904" s="67">
        <f t="shared" si="404"/>
        <v>0</v>
      </c>
      <c r="J904" s="67">
        <f t="shared" si="404"/>
        <v>0</v>
      </c>
      <c r="K904" s="67">
        <f t="shared" si="404"/>
        <v>0</v>
      </c>
      <c r="L904" s="67">
        <f t="shared" si="404"/>
        <v>0</v>
      </c>
      <c r="M904" s="67">
        <f t="shared" si="404"/>
        <v>0</v>
      </c>
      <c r="N904" s="67">
        <f t="shared" si="404"/>
        <v>0</v>
      </c>
      <c r="O904" s="67">
        <f t="shared" si="404"/>
        <v>0</v>
      </c>
      <c r="P904" s="67">
        <f t="shared" si="404"/>
        <v>0.57196440421078754</v>
      </c>
    </row>
    <row r="905" spans="2:16" ht="13" hidden="1" outlineLevel="1" x14ac:dyDescent="0.3">
      <c r="B905" s="14"/>
      <c r="C905" s="13" t="s">
        <v>61</v>
      </c>
      <c r="D905" s="12" t="s">
        <v>41</v>
      </c>
      <c r="E905" s="12" t="s">
        <v>56</v>
      </c>
      <c r="F905" s="69">
        <v>2860.0850556741525</v>
      </c>
      <c r="G905" s="14"/>
      <c r="H905" s="67">
        <f t="shared" ref="H905:P905" si="405">+IFERROR(AVERAGEIF(G736:H736,no_cero),0)</f>
        <v>4.2769196300095276</v>
      </c>
      <c r="I905" s="67">
        <f t="shared" si="405"/>
        <v>4.583428058632169</v>
      </c>
      <c r="J905" s="67">
        <f t="shared" si="405"/>
        <v>4.7692114287142129</v>
      </c>
      <c r="K905" s="67">
        <f t="shared" si="405"/>
        <v>4.2061511266638556</v>
      </c>
      <c r="L905" s="67">
        <f t="shared" si="405"/>
        <v>3.3651927749503807</v>
      </c>
      <c r="M905" s="67">
        <f t="shared" si="405"/>
        <v>2.664835915956056</v>
      </c>
      <c r="N905" s="67">
        <f t="shared" si="405"/>
        <v>2.3631021651654454</v>
      </c>
      <c r="O905" s="67">
        <f t="shared" si="405"/>
        <v>0</v>
      </c>
      <c r="P905" s="67">
        <f t="shared" si="405"/>
        <v>0</v>
      </c>
    </row>
    <row r="906" spans="2:16" ht="13" hidden="1" outlineLevel="1" x14ac:dyDescent="0.3">
      <c r="B906" s="14"/>
      <c r="C906" s="13" t="s">
        <v>62</v>
      </c>
      <c r="D906" s="12" t="s">
        <v>41</v>
      </c>
      <c r="E906" s="12" t="s">
        <v>56</v>
      </c>
      <c r="F906" s="69">
        <v>4168.8563850132023</v>
      </c>
      <c r="G906" s="14"/>
      <c r="H906" s="67">
        <f t="shared" ref="H906:P906" si="406">+IFERROR(AVERAGEIF(G737:H737,no_cero),0)</f>
        <v>9.807405687972313</v>
      </c>
      <c r="I906" s="67">
        <f t="shared" si="406"/>
        <v>10.850060134217125</v>
      </c>
      <c r="J906" s="67">
        <f t="shared" si="406"/>
        <v>10.584088810281315</v>
      </c>
      <c r="K906" s="67">
        <f t="shared" si="406"/>
        <v>7.0690731677330749</v>
      </c>
      <c r="L906" s="67">
        <f t="shared" si="406"/>
        <v>4.2473864826890786</v>
      </c>
      <c r="M906" s="67">
        <f t="shared" si="406"/>
        <v>2.3986097445176169</v>
      </c>
      <c r="N906" s="67">
        <f t="shared" si="406"/>
        <v>0.75297004749443852</v>
      </c>
      <c r="O906" s="67">
        <f t="shared" si="406"/>
        <v>0.34081027596634123</v>
      </c>
      <c r="P906" s="67">
        <f t="shared" si="406"/>
        <v>0</v>
      </c>
    </row>
    <row r="907" spans="2:16" ht="13" hidden="1" outlineLevel="1" x14ac:dyDescent="0.3">
      <c r="B907" s="14"/>
      <c r="C907" s="13" t="s">
        <v>348</v>
      </c>
      <c r="D907" s="12" t="s">
        <v>41</v>
      </c>
      <c r="E907" s="12" t="s">
        <v>56</v>
      </c>
      <c r="F907" s="69">
        <v>148.16797386722163</v>
      </c>
      <c r="G907" s="14"/>
      <c r="H907" s="67">
        <f t="shared" ref="H907:P907" si="407">+IFERROR(AVERAGEIF(G738:H738,no_cero),0)</f>
        <v>0.37379832567998256</v>
      </c>
      <c r="I907" s="67">
        <f t="shared" si="407"/>
        <v>0.34504239592618424</v>
      </c>
      <c r="J907" s="67">
        <f t="shared" si="407"/>
        <v>0.28874974627727523</v>
      </c>
      <c r="K907" s="67">
        <f t="shared" si="407"/>
        <v>0.23380664354084413</v>
      </c>
      <c r="L907" s="67">
        <f t="shared" si="407"/>
        <v>0.18149669107674926</v>
      </c>
      <c r="M907" s="67">
        <f t="shared" si="407"/>
        <v>0.1296273880265707</v>
      </c>
      <c r="N907" s="67">
        <f t="shared" si="407"/>
        <v>7.441768779676855E-2</v>
      </c>
      <c r="O907" s="67">
        <f t="shared" si="407"/>
        <v>2.3086868397780499E-2</v>
      </c>
      <c r="P907" s="67">
        <f t="shared" si="407"/>
        <v>1.5799065855643344E-8</v>
      </c>
    </row>
    <row r="908" spans="2:16" ht="13" hidden="1" outlineLevel="1" x14ac:dyDescent="0.3">
      <c r="B908" s="14"/>
      <c r="C908" s="13" t="s">
        <v>349</v>
      </c>
      <c r="D908" s="12" t="s">
        <v>41</v>
      </c>
      <c r="E908" s="12" t="s">
        <v>56</v>
      </c>
      <c r="F908" s="69">
        <v>2641.9839352530353</v>
      </c>
      <c r="G908" s="14"/>
      <c r="H908" s="67">
        <f t="shared" ref="H908:P908" si="408">+IFERROR(AVERAGEIF(G739:H739,no_cero),0)</f>
        <v>0.18612989701605268</v>
      </c>
      <c r="I908" s="67">
        <f t="shared" si="408"/>
        <v>0.1653476735715998</v>
      </c>
      <c r="J908" s="67">
        <f t="shared" si="408"/>
        <v>3.3048974676567036</v>
      </c>
      <c r="K908" s="67">
        <f t="shared" si="408"/>
        <v>5.9994378024227348</v>
      </c>
      <c r="L908" s="67">
        <f t="shared" si="408"/>
        <v>5.1296751566003564</v>
      </c>
      <c r="M908" s="67">
        <f t="shared" si="408"/>
        <v>4.2538874684680108</v>
      </c>
      <c r="N908" s="67">
        <f t="shared" si="408"/>
        <v>3.2809240471160246</v>
      </c>
      <c r="O908" s="67">
        <f t="shared" si="408"/>
        <v>2.3011004750264363</v>
      </c>
      <c r="P908" s="67">
        <f t="shared" si="408"/>
        <v>1.3398033095138853</v>
      </c>
    </row>
    <row r="909" spans="2:16" ht="13" hidden="1" outlineLevel="1" x14ac:dyDescent="0.3">
      <c r="B909" s="14"/>
      <c r="C909" s="13" t="s">
        <v>350</v>
      </c>
      <c r="D909" s="12" t="s">
        <v>41</v>
      </c>
      <c r="E909" s="12" t="s">
        <v>56</v>
      </c>
      <c r="F909" s="69">
        <v>1210.757870463309</v>
      </c>
      <c r="G909" s="14"/>
      <c r="H909" s="67">
        <f t="shared" ref="H909:P909" si="409">+IFERROR(AVERAGEIF(G740:H740,no_cero),0)</f>
        <v>0.22489212718772836</v>
      </c>
      <c r="I909" s="67">
        <f t="shared" si="409"/>
        <v>0.85671295172018791</v>
      </c>
      <c r="J909" s="67">
        <f t="shared" si="409"/>
        <v>1.3657940924977154</v>
      </c>
      <c r="K909" s="67">
        <f t="shared" si="409"/>
        <v>1.9676869684821958</v>
      </c>
      <c r="L909" s="67">
        <f t="shared" si="409"/>
        <v>2.4930735432332991</v>
      </c>
      <c r="M909" s="67">
        <f t="shared" si="409"/>
        <v>2.0426504872264273</v>
      </c>
      <c r="N909" s="67">
        <f t="shared" si="409"/>
        <v>1.5185351163814516</v>
      </c>
      <c r="O909" s="67">
        <f t="shared" si="409"/>
        <v>0.98450214306102213</v>
      </c>
      <c r="P909" s="67">
        <f t="shared" si="409"/>
        <v>0.53629363706323763</v>
      </c>
    </row>
    <row r="910" spans="2:16" ht="13" hidden="1" outlineLevel="1" x14ac:dyDescent="0.3">
      <c r="B910" s="14"/>
      <c r="C910" s="13" t="s">
        <v>351</v>
      </c>
      <c r="D910" s="12" t="s">
        <v>41</v>
      </c>
      <c r="E910" s="12" t="s">
        <v>56</v>
      </c>
      <c r="F910" s="69">
        <v>1607.1665745760681</v>
      </c>
      <c r="G910" s="14"/>
      <c r="H910" s="67">
        <f t="shared" ref="H910:P910" si="410">+IFERROR(AVERAGEIF(G741:H741,no_cero),0)</f>
        <v>9.8327415016731229E-2</v>
      </c>
      <c r="I910" s="67">
        <f t="shared" si="410"/>
        <v>0.44945948631912813</v>
      </c>
      <c r="J910" s="67">
        <f t="shared" si="410"/>
        <v>1.8035723003908042</v>
      </c>
      <c r="K910" s="67">
        <f t="shared" si="410"/>
        <v>2.6542440627930928</v>
      </c>
      <c r="L910" s="67">
        <f t="shared" si="410"/>
        <v>2.6221760740283262</v>
      </c>
      <c r="M910" s="67">
        <f t="shared" si="410"/>
        <v>2.5552101547211596</v>
      </c>
      <c r="N910" s="67">
        <f t="shared" si="410"/>
        <v>2.15242938080956</v>
      </c>
      <c r="O910" s="67">
        <f t="shared" si="410"/>
        <v>1.7543076780939508</v>
      </c>
      <c r="P910" s="67">
        <f t="shared" si="410"/>
        <v>1.3970638299542777</v>
      </c>
    </row>
    <row r="911" spans="2:16" ht="13" hidden="1" outlineLevel="1" x14ac:dyDescent="0.3">
      <c r="B911" s="14"/>
      <c r="C911" s="13" t="s">
        <v>352</v>
      </c>
      <c r="D911" s="12" t="s">
        <v>41</v>
      </c>
      <c r="E911" s="12" t="s">
        <v>56</v>
      </c>
      <c r="F911" s="69">
        <v>1793.9597681309519</v>
      </c>
      <c r="G911" s="14"/>
      <c r="H911" s="67">
        <f t="shared" ref="H911:P911" si="411">+IFERROR(AVERAGEIF(G742:H742,no_cero),0)</f>
        <v>0</v>
      </c>
      <c r="I911" s="67">
        <f t="shared" si="411"/>
        <v>0</v>
      </c>
      <c r="J911" s="67">
        <f t="shared" si="411"/>
        <v>2.865302494414903</v>
      </c>
      <c r="K911" s="67">
        <f t="shared" si="411"/>
        <v>2.8876579839416445</v>
      </c>
      <c r="L911" s="67">
        <f t="shared" si="411"/>
        <v>2.665029408359747</v>
      </c>
      <c r="M911" s="67">
        <f t="shared" si="411"/>
        <v>3.0334132546707941</v>
      </c>
      <c r="N911" s="67">
        <f t="shared" si="411"/>
        <v>3.6467811660904803</v>
      </c>
      <c r="O911" s="67">
        <f t="shared" si="411"/>
        <v>0</v>
      </c>
      <c r="P911" s="67">
        <f t="shared" si="411"/>
        <v>0</v>
      </c>
    </row>
    <row r="912" spans="2:16" ht="13" collapsed="1" x14ac:dyDescent="0.3">
      <c r="B912" s="14"/>
      <c r="C912" s="13"/>
      <c r="D912" s="13"/>
      <c r="E912" s="12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2:16" ht="13" x14ac:dyDescent="0.3">
      <c r="B913" s="14" t="s">
        <v>353</v>
      </c>
      <c r="C913" s="13"/>
      <c r="D913" s="13"/>
      <c r="E913" s="12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2:16" ht="13" hidden="1" outlineLevel="1" x14ac:dyDescent="0.3">
      <c r="B914" s="14"/>
      <c r="C914" s="13" t="s">
        <v>354</v>
      </c>
      <c r="D914" s="12" t="s">
        <v>41</v>
      </c>
      <c r="E914" s="12" t="s">
        <v>56</v>
      </c>
      <c r="F914" s="69">
        <v>310445.26746604516</v>
      </c>
      <c r="G914" s="14"/>
      <c r="H914" s="67">
        <f t="shared" ref="H914:P914" si="412">+IFERROR(AVERAGEIF(G745:H745,no_cero),0)</f>
        <v>0</v>
      </c>
      <c r="I914" s="67">
        <f t="shared" si="412"/>
        <v>0</v>
      </c>
      <c r="J914" s="67">
        <f t="shared" si="412"/>
        <v>0</v>
      </c>
      <c r="K914" s="67">
        <f t="shared" si="412"/>
        <v>0</v>
      </c>
      <c r="L914" s="67">
        <f t="shared" si="412"/>
        <v>743.0783489559584</v>
      </c>
      <c r="M914" s="67">
        <f t="shared" si="412"/>
        <v>738.79421440701867</v>
      </c>
      <c r="N914" s="67">
        <f t="shared" si="412"/>
        <v>701.21393757657574</v>
      </c>
      <c r="O914" s="67">
        <f t="shared" si="412"/>
        <v>644.65940493245739</v>
      </c>
      <c r="P914" s="67">
        <f t="shared" si="412"/>
        <v>610.68249142282912</v>
      </c>
    </row>
    <row r="915" spans="2:16" ht="13" hidden="1" outlineLevel="1" x14ac:dyDescent="0.3">
      <c r="B915" s="14"/>
      <c r="C915" s="13" t="s">
        <v>355</v>
      </c>
      <c r="D915" s="12" t="s">
        <v>41</v>
      </c>
      <c r="E915" s="12" t="s">
        <v>56</v>
      </c>
      <c r="F915" s="69">
        <v>211449.8094224167</v>
      </c>
      <c r="G915" s="14"/>
      <c r="H915" s="67">
        <f t="shared" ref="H915:P915" si="413">+IFERROR(AVERAGEIF(G746:H746,no_cero),0)</f>
        <v>0</v>
      </c>
      <c r="I915" s="67">
        <f t="shared" si="413"/>
        <v>0</v>
      </c>
      <c r="J915" s="67">
        <f t="shared" si="413"/>
        <v>0</v>
      </c>
      <c r="K915" s="67">
        <f t="shared" si="413"/>
        <v>0</v>
      </c>
      <c r="L915" s="67">
        <f t="shared" si="413"/>
        <v>0</v>
      </c>
      <c r="M915" s="67">
        <f t="shared" si="413"/>
        <v>639.58112710062426</v>
      </c>
      <c r="N915" s="67">
        <f t="shared" si="413"/>
        <v>610.32518754192029</v>
      </c>
      <c r="O915" s="67">
        <f t="shared" si="413"/>
        <v>560.56907922375171</v>
      </c>
      <c r="P915" s="67">
        <f t="shared" si="413"/>
        <v>530.47301446025813</v>
      </c>
    </row>
    <row r="916" spans="2:16" ht="13" hidden="1" outlineLevel="1" x14ac:dyDescent="0.3">
      <c r="B916" s="14"/>
      <c r="C916" s="13" t="s">
        <v>356</v>
      </c>
      <c r="D916" s="12" t="s">
        <v>41</v>
      </c>
      <c r="E916" s="12" t="s">
        <v>56</v>
      </c>
      <c r="F916" s="69">
        <v>23015.417392937779</v>
      </c>
      <c r="G916" s="14"/>
      <c r="H916" s="67">
        <f t="shared" ref="H916:P916" si="414">+IFERROR(AVERAGEIF(G747:H747,no_cero),0)</f>
        <v>0</v>
      </c>
      <c r="I916" s="67">
        <f t="shared" si="414"/>
        <v>0</v>
      </c>
      <c r="J916" s="67">
        <f t="shared" si="414"/>
        <v>0</v>
      </c>
      <c r="K916" s="67">
        <f t="shared" si="414"/>
        <v>0</v>
      </c>
      <c r="L916" s="67">
        <f t="shared" si="414"/>
        <v>55.184294089696351</v>
      </c>
      <c r="M916" s="67">
        <f t="shared" si="414"/>
        <v>54.843636571946618</v>
      </c>
      <c r="N916" s="67">
        <f t="shared" si="414"/>
        <v>52.010132118691857</v>
      </c>
      <c r="O916" s="67">
        <f t="shared" si="414"/>
        <v>47.770561570098153</v>
      </c>
      <c r="P916" s="67">
        <f t="shared" si="414"/>
        <v>45.206354265960229</v>
      </c>
    </row>
    <row r="917" spans="2:16" ht="13" hidden="1" outlineLevel="1" x14ac:dyDescent="0.3">
      <c r="B917" s="14"/>
      <c r="C917" s="13" t="s">
        <v>357</v>
      </c>
      <c r="D917" s="12" t="s">
        <v>41</v>
      </c>
      <c r="E917" s="12" t="s">
        <v>56</v>
      </c>
      <c r="F917" s="69">
        <v>42485.7187892898</v>
      </c>
      <c r="G917" s="14"/>
      <c r="H917" s="67">
        <f t="shared" ref="H917:P917" si="415">+IFERROR(AVERAGEIF(G748:H748,no_cero),0)</f>
        <v>0</v>
      </c>
      <c r="I917" s="67">
        <f t="shared" si="415"/>
        <v>0</v>
      </c>
      <c r="J917" s="67">
        <f t="shared" si="415"/>
        <v>0</v>
      </c>
      <c r="K917" s="67">
        <f t="shared" si="415"/>
        <v>0</v>
      </c>
      <c r="L917" s="67">
        <f t="shared" si="415"/>
        <v>0</v>
      </c>
      <c r="M917" s="67">
        <f t="shared" si="415"/>
        <v>128.50833955896394</v>
      </c>
      <c r="N917" s="67">
        <f t="shared" si="415"/>
        <v>122.63006695894248</v>
      </c>
      <c r="O917" s="67">
        <f t="shared" si="415"/>
        <v>112.63278187351526</v>
      </c>
      <c r="P917" s="67">
        <f t="shared" si="415"/>
        <v>106.58570645784695</v>
      </c>
    </row>
    <row r="918" spans="2:16" ht="13" hidden="1" outlineLevel="1" x14ac:dyDescent="0.3">
      <c r="B918" s="14"/>
      <c r="C918" s="13" t="s">
        <v>358</v>
      </c>
      <c r="D918" s="12" t="s">
        <v>41</v>
      </c>
      <c r="E918" s="12" t="s">
        <v>56</v>
      </c>
      <c r="F918" s="69">
        <v>64479.730569340769</v>
      </c>
      <c r="G918" s="14"/>
      <c r="H918" s="67">
        <f t="shared" ref="H918:P918" si="416">+IFERROR(AVERAGEIF(G749:H749,no_cero),0)</f>
        <v>0</v>
      </c>
      <c r="I918" s="67">
        <f t="shared" si="416"/>
        <v>0</v>
      </c>
      <c r="J918" s="67">
        <f t="shared" si="416"/>
        <v>0</v>
      </c>
      <c r="K918" s="67">
        <f t="shared" si="416"/>
        <v>0</v>
      </c>
      <c r="L918" s="67">
        <f t="shared" si="416"/>
        <v>154.37938012187416</v>
      </c>
      <c r="M918" s="67">
        <f t="shared" si="416"/>
        <v>153.47949971647787</v>
      </c>
      <c r="N918" s="67">
        <f t="shared" si="416"/>
        <v>145.65334003663258</v>
      </c>
      <c r="O918" s="67">
        <f t="shared" si="416"/>
        <v>133.88648487765704</v>
      </c>
      <c r="P918" s="67">
        <f t="shared" si="416"/>
        <v>126.80968771731489</v>
      </c>
    </row>
    <row r="919" spans="2:16" ht="13" hidden="1" outlineLevel="1" x14ac:dyDescent="0.3">
      <c r="B919" s="14"/>
      <c r="C919" s="13" t="s">
        <v>359</v>
      </c>
      <c r="D919" s="12" t="s">
        <v>41</v>
      </c>
      <c r="E919" s="12" t="s">
        <v>56</v>
      </c>
      <c r="F919" s="69">
        <v>200.63916388913825</v>
      </c>
      <c r="G919" s="14"/>
      <c r="H919" s="67">
        <f t="shared" ref="H919:P919" si="417">+IFERROR(AVERAGEIF(G750:H750,no_cero),0)</f>
        <v>0</v>
      </c>
      <c r="I919" s="67">
        <f t="shared" si="417"/>
        <v>0</v>
      </c>
      <c r="J919" s="67">
        <f t="shared" si="417"/>
        <v>0</v>
      </c>
      <c r="K919" s="67">
        <f t="shared" si="417"/>
        <v>0</v>
      </c>
      <c r="L919" s="67">
        <f t="shared" si="417"/>
        <v>0</v>
      </c>
      <c r="M919" s="67">
        <f t="shared" si="417"/>
        <v>0.60688616992962918</v>
      </c>
      <c r="N919" s="67">
        <f t="shared" si="417"/>
        <v>0.57912445345194885</v>
      </c>
      <c r="O919" s="67">
        <f t="shared" si="417"/>
        <v>0.53190927906233532</v>
      </c>
      <c r="P919" s="67">
        <f t="shared" si="417"/>
        <v>0.50334914194168534</v>
      </c>
    </row>
    <row r="920" spans="2:16" ht="13" hidden="1" outlineLevel="1" x14ac:dyDescent="0.3">
      <c r="B920" s="14"/>
      <c r="C920" s="13" t="s">
        <v>360</v>
      </c>
      <c r="D920" s="12" t="s">
        <v>41</v>
      </c>
      <c r="E920" s="12" t="s">
        <v>56</v>
      </c>
      <c r="F920" s="69">
        <v>1872.3954150000006</v>
      </c>
      <c r="G920" s="14"/>
      <c r="H920" s="67">
        <f t="shared" ref="H920:P920" si="418">+IFERROR(AVERAGEIF(G751:H751,no_cero),0)</f>
        <v>0</v>
      </c>
      <c r="I920" s="67">
        <f t="shared" si="418"/>
        <v>0</v>
      </c>
      <c r="J920" s="67">
        <f t="shared" si="418"/>
        <v>0</v>
      </c>
      <c r="K920" s="67">
        <f t="shared" si="418"/>
        <v>0</v>
      </c>
      <c r="L920" s="67">
        <f t="shared" si="418"/>
        <v>11.48973932784399</v>
      </c>
      <c r="M920" s="67">
        <f t="shared" si="418"/>
        <v>9.2886161769619235</v>
      </c>
      <c r="N920" s="67">
        <f t="shared" si="418"/>
        <v>4.6627541204349248</v>
      </c>
      <c r="O920" s="67">
        <f t="shared" si="418"/>
        <v>1.1190076073949966</v>
      </c>
      <c r="P920" s="67">
        <f t="shared" si="418"/>
        <v>2.3860401333646543E-15</v>
      </c>
    </row>
    <row r="921" spans="2:16" ht="13" hidden="1" outlineLevel="1" x14ac:dyDescent="0.3">
      <c r="B921" s="14"/>
      <c r="C921" s="13" t="s">
        <v>361</v>
      </c>
      <c r="D921" s="12" t="s">
        <v>41</v>
      </c>
      <c r="E921" s="12" t="s">
        <v>56</v>
      </c>
      <c r="F921" s="69">
        <v>1116.4809250000001</v>
      </c>
      <c r="G921" s="14"/>
      <c r="H921" s="67">
        <f t="shared" ref="H921:P921" si="419">+IFERROR(AVERAGEIF(G752:H752,no_cero),0)</f>
        <v>0</v>
      </c>
      <c r="I921" s="67">
        <f t="shared" si="419"/>
        <v>0</v>
      </c>
      <c r="J921" s="67">
        <f t="shared" si="419"/>
        <v>0</v>
      </c>
      <c r="K921" s="67">
        <f t="shared" si="419"/>
        <v>0</v>
      </c>
      <c r="L921" s="67">
        <f t="shared" si="419"/>
        <v>2.7482926591176611</v>
      </c>
      <c r="M921" s="67">
        <f t="shared" si="419"/>
        <v>2.7144441692731816</v>
      </c>
      <c r="N921" s="67">
        <f t="shared" si="419"/>
        <v>2.5413428483913894</v>
      </c>
      <c r="O921" s="67">
        <f t="shared" si="419"/>
        <v>2.300502458115651</v>
      </c>
      <c r="P921" s="67">
        <f t="shared" si="419"/>
        <v>2.1420849302794949</v>
      </c>
    </row>
    <row r="922" spans="2:16" ht="13" hidden="1" outlineLevel="1" x14ac:dyDescent="0.3">
      <c r="B922" s="14"/>
      <c r="C922" s="13" t="s">
        <v>362</v>
      </c>
      <c r="D922" s="12" t="s">
        <v>41</v>
      </c>
      <c r="E922" s="12" t="s">
        <v>56</v>
      </c>
      <c r="F922" s="69">
        <v>1058.8559142857146</v>
      </c>
      <c r="G922" s="14"/>
      <c r="H922" s="67">
        <f t="shared" ref="H922:P922" si="420">+IFERROR(AVERAGEIF(G753:H753,no_cero),0)</f>
        <v>0</v>
      </c>
      <c r="I922" s="67">
        <f t="shared" si="420"/>
        <v>0</v>
      </c>
      <c r="J922" s="67">
        <f t="shared" si="420"/>
        <v>0</v>
      </c>
      <c r="K922" s="67">
        <f t="shared" si="420"/>
        <v>0</v>
      </c>
      <c r="L922" s="67">
        <f t="shared" si="420"/>
        <v>3.3787247814117105</v>
      </c>
      <c r="M922" s="67">
        <f t="shared" si="420"/>
        <v>3.1589767027261884</v>
      </c>
      <c r="N922" s="67">
        <f t="shared" si="420"/>
        <v>2.6086696978174699</v>
      </c>
      <c r="O922" s="67">
        <f t="shared" si="420"/>
        <v>1.9992042503993663</v>
      </c>
      <c r="P922" s="67">
        <f t="shared" si="420"/>
        <v>1.4803728711400472</v>
      </c>
    </row>
    <row r="923" spans="2:16" ht="13" hidden="1" outlineLevel="1" x14ac:dyDescent="0.3">
      <c r="B923" s="14"/>
      <c r="C923" s="13" t="s">
        <v>363</v>
      </c>
      <c r="D923" s="12" t="s">
        <v>41</v>
      </c>
      <c r="E923" s="12" t="s">
        <v>56</v>
      </c>
      <c r="F923" s="69">
        <v>204477.59804293484</v>
      </c>
      <c r="G923" s="14"/>
      <c r="H923" s="67">
        <f t="shared" ref="H923:P923" si="421">+IFERROR(AVERAGEIF(G754:H754,no_cero),0)</f>
        <v>0</v>
      </c>
      <c r="I923" s="67">
        <f t="shared" si="421"/>
        <v>0</v>
      </c>
      <c r="J923" s="67">
        <f t="shared" si="421"/>
        <v>0</v>
      </c>
      <c r="K923" s="67">
        <f t="shared" si="421"/>
        <v>0</v>
      </c>
      <c r="L923" s="67">
        <f t="shared" si="421"/>
        <v>0</v>
      </c>
      <c r="M923" s="67">
        <f t="shared" si="421"/>
        <v>618.52911167804234</v>
      </c>
      <c r="N923" s="67">
        <f t="shared" si="421"/>
        <v>590.22513767202508</v>
      </c>
      <c r="O923" s="67">
        <f t="shared" si="421"/>
        <v>542.08540192377188</v>
      </c>
      <c r="P923" s="67">
        <f t="shared" si="421"/>
        <v>512.95860917544076</v>
      </c>
    </row>
    <row r="924" spans="2:16" ht="13" hidden="1" outlineLevel="1" x14ac:dyDescent="0.3">
      <c r="B924" s="14"/>
      <c r="C924" s="13" t="s">
        <v>364</v>
      </c>
      <c r="D924" s="12" t="s">
        <v>41</v>
      </c>
      <c r="E924" s="12" t="s">
        <v>56</v>
      </c>
      <c r="F924" s="69">
        <v>8958.9197605241243</v>
      </c>
      <c r="G924" s="14"/>
      <c r="H924" s="67">
        <f t="shared" ref="H924:P924" si="422">+IFERROR(AVERAGEIF(G755:H755,no_cero),0)</f>
        <v>0</v>
      </c>
      <c r="I924" s="67">
        <f t="shared" si="422"/>
        <v>0</v>
      </c>
      <c r="J924" s="67">
        <f t="shared" si="422"/>
        <v>0</v>
      </c>
      <c r="K924" s="67">
        <f t="shared" si="422"/>
        <v>0</v>
      </c>
      <c r="L924" s="67">
        <f t="shared" si="422"/>
        <v>0</v>
      </c>
      <c r="M924" s="67">
        <f t="shared" si="422"/>
        <v>27.100047800386971</v>
      </c>
      <c r="N924" s="67">
        <f t="shared" si="422"/>
        <v>25.859946026643399</v>
      </c>
      <c r="O924" s="67">
        <f t="shared" si="422"/>
        <v>23.750766175211076</v>
      </c>
      <c r="P924" s="67">
        <f t="shared" si="422"/>
        <v>22.474613669453824</v>
      </c>
    </row>
    <row r="925" spans="2:16" ht="13" hidden="1" outlineLevel="1" x14ac:dyDescent="0.3">
      <c r="B925" s="14"/>
      <c r="C925" s="13" t="s">
        <v>365</v>
      </c>
      <c r="D925" s="12" t="s">
        <v>41</v>
      </c>
      <c r="E925" s="12" t="s">
        <v>56</v>
      </c>
      <c r="F925" s="69">
        <v>25089.122576540329</v>
      </c>
      <c r="G925" s="14"/>
      <c r="H925" s="67">
        <f t="shared" ref="H925:P925" si="423">+IFERROR(AVERAGEIF(G756:H756,no_cero),0)</f>
        <v>0</v>
      </c>
      <c r="I925" s="67">
        <f t="shared" si="423"/>
        <v>0</v>
      </c>
      <c r="J925" s="67">
        <f t="shared" si="423"/>
        <v>0</v>
      </c>
      <c r="K925" s="67">
        <f t="shared" si="423"/>
        <v>0</v>
      </c>
      <c r="L925" s="67">
        <f t="shared" si="423"/>
        <v>0</v>
      </c>
      <c r="M925" s="67">
        <f t="shared" si="423"/>
        <v>75.880659378636238</v>
      </c>
      <c r="N925" s="67">
        <f t="shared" si="423"/>
        <v>72.411912423050524</v>
      </c>
      <c r="O925" s="67">
        <f t="shared" si="423"/>
        <v>66.51308472408337</v>
      </c>
      <c r="P925" s="67">
        <f t="shared" si="423"/>
        <v>62.946744565342243</v>
      </c>
    </row>
    <row r="926" spans="2:16" ht="13" hidden="1" outlineLevel="1" x14ac:dyDescent="0.3">
      <c r="B926" s="14"/>
      <c r="C926" s="13" t="s">
        <v>366</v>
      </c>
      <c r="D926" s="12" t="s">
        <v>41</v>
      </c>
      <c r="E926" s="12" t="s">
        <v>56</v>
      </c>
      <c r="F926" s="69">
        <v>8722.2731413333331</v>
      </c>
      <c r="G926" s="14"/>
      <c r="H926" s="67">
        <f t="shared" ref="H926:P926" si="424">+IFERROR(AVERAGEIF(G757:H757,no_cero),0)</f>
        <v>0</v>
      </c>
      <c r="I926" s="67">
        <f t="shared" si="424"/>
        <v>0</v>
      </c>
      <c r="J926" s="67">
        <f t="shared" si="424"/>
        <v>0</v>
      </c>
      <c r="K926" s="67">
        <f t="shared" si="424"/>
        <v>0</v>
      </c>
      <c r="L926" s="67">
        <f t="shared" si="424"/>
        <v>0</v>
      </c>
      <c r="M926" s="67">
        <f t="shared" si="424"/>
        <v>26.40068014515877</v>
      </c>
      <c r="N926" s="67">
        <f t="shared" si="424"/>
        <v>25.187700475096399</v>
      </c>
      <c r="O926" s="67">
        <f t="shared" si="424"/>
        <v>23.123473972005641</v>
      </c>
      <c r="P926" s="67">
        <f t="shared" si="424"/>
        <v>21.870784079689685</v>
      </c>
    </row>
    <row r="927" spans="2:16" ht="13" hidden="1" outlineLevel="1" x14ac:dyDescent="0.3">
      <c r="B927" s="14"/>
      <c r="C927" s="13" t="s">
        <v>367</v>
      </c>
      <c r="D927" s="12" t="s">
        <v>41</v>
      </c>
      <c r="E927" s="12" t="s">
        <v>56</v>
      </c>
      <c r="F927" s="69">
        <v>68142.566132319378</v>
      </c>
      <c r="G927" s="14"/>
      <c r="H927" s="67">
        <f t="shared" ref="H927:P927" si="425">+IFERROR(AVERAGEIF(G758:H758,no_cero),0)</f>
        <v>0</v>
      </c>
      <c r="I927" s="67">
        <f t="shared" si="425"/>
        <v>0</v>
      </c>
      <c r="J927" s="67">
        <f t="shared" si="425"/>
        <v>0</v>
      </c>
      <c r="K927" s="67">
        <f t="shared" si="425"/>
        <v>0</v>
      </c>
      <c r="L927" s="67">
        <f t="shared" si="425"/>
        <v>0</v>
      </c>
      <c r="M927" s="67">
        <f t="shared" si="425"/>
        <v>206.13212499416085</v>
      </c>
      <c r="N927" s="67">
        <f t="shared" si="425"/>
        <v>196.69769320290737</v>
      </c>
      <c r="O927" s="67">
        <f t="shared" si="425"/>
        <v>180.65106596177793</v>
      </c>
      <c r="P927" s="67">
        <f t="shared" si="425"/>
        <v>170.94072894097923</v>
      </c>
    </row>
    <row r="928" spans="2:16" ht="13" hidden="1" outlineLevel="1" x14ac:dyDescent="0.3">
      <c r="B928" s="14"/>
      <c r="C928" s="13" t="s">
        <v>368</v>
      </c>
      <c r="D928" s="12" t="s">
        <v>41</v>
      </c>
      <c r="E928" s="12" t="s">
        <v>56</v>
      </c>
      <c r="F928" s="69">
        <v>34852.536054999997</v>
      </c>
      <c r="G928" s="14"/>
      <c r="H928" s="67">
        <f t="shared" ref="H928:P928" si="426">+IFERROR(AVERAGEIF(G759:H759,no_cero),0)</f>
        <v>0</v>
      </c>
      <c r="I928" s="67">
        <f t="shared" si="426"/>
        <v>0</v>
      </c>
      <c r="J928" s="67">
        <f t="shared" si="426"/>
        <v>0</v>
      </c>
      <c r="K928" s="67">
        <f t="shared" si="426"/>
        <v>0</v>
      </c>
      <c r="L928" s="67">
        <f t="shared" si="426"/>
        <v>0</v>
      </c>
      <c r="M928" s="67">
        <f t="shared" si="426"/>
        <v>109.80402602689419</v>
      </c>
      <c r="N928" s="67">
        <f t="shared" si="426"/>
        <v>103.48200587205324</v>
      </c>
      <c r="O928" s="67">
        <f t="shared" si="426"/>
        <v>92.416794491258429</v>
      </c>
      <c r="P928" s="67">
        <f t="shared" si="426"/>
        <v>84.728732359099908</v>
      </c>
    </row>
    <row r="929" spans="2:16" ht="13" hidden="1" outlineLevel="1" x14ac:dyDescent="0.3">
      <c r="B929" s="14"/>
      <c r="C929" s="13" t="s">
        <v>369</v>
      </c>
      <c r="D929" s="12" t="s">
        <v>41</v>
      </c>
      <c r="E929" s="12" t="s">
        <v>56</v>
      </c>
      <c r="F929" s="69">
        <v>5894.8739289999994</v>
      </c>
      <c r="G929" s="14"/>
      <c r="H929" s="67">
        <f t="shared" ref="H929:P929" si="427">+IFERROR(AVERAGEIF(G760:H760,no_cero),0)</f>
        <v>0</v>
      </c>
      <c r="I929" s="67">
        <f t="shared" si="427"/>
        <v>0</v>
      </c>
      <c r="J929" s="67">
        <f t="shared" si="427"/>
        <v>0</v>
      </c>
      <c r="K929" s="67">
        <f t="shared" si="427"/>
        <v>0</v>
      </c>
      <c r="L929" s="67">
        <f t="shared" si="427"/>
        <v>0</v>
      </c>
      <c r="M929" s="67">
        <f t="shared" si="427"/>
        <v>18.092106172127341</v>
      </c>
      <c r="N929" s="67">
        <f t="shared" si="427"/>
        <v>17.186989866226916</v>
      </c>
      <c r="O929" s="67">
        <f t="shared" si="427"/>
        <v>15.628948824443155</v>
      </c>
      <c r="P929" s="67">
        <f t="shared" si="427"/>
        <v>14.627152690555981</v>
      </c>
    </row>
    <row r="930" spans="2:16" ht="13" hidden="1" outlineLevel="1" x14ac:dyDescent="0.3">
      <c r="B930" s="14"/>
      <c r="C930" s="13" t="s">
        <v>370</v>
      </c>
      <c r="D930" s="12" t="s">
        <v>41</v>
      </c>
      <c r="E930" s="12" t="s">
        <v>56</v>
      </c>
      <c r="F930" s="69">
        <v>39949.751243527433</v>
      </c>
      <c r="G930" s="14"/>
      <c r="H930" s="67">
        <f t="shared" ref="H930:P930" si="428">+IFERROR(AVERAGEIF(G761:H761,no_cero),0)</f>
        <v>0</v>
      </c>
      <c r="I930" s="67">
        <f t="shared" si="428"/>
        <v>0</v>
      </c>
      <c r="J930" s="67">
        <f t="shared" si="428"/>
        <v>0</v>
      </c>
      <c r="K930" s="67">
        <f t="shared" si="428"/>
        <v>0</v>
      </c>
      <c r="L930" s="67">
        <f t="shared" si="428"/>
        <v>0</v>
      </c>
      <c r="M930" s="67">
        <f t="shared" si="428"/>
        <v>120.83769192092757</v>
      </c>
      <c r="N930" s="67">
        <f t="shared" si="428"/>
        <v>115.310292719394</v>
      </c>
      <c r="O930" s="67">
        <f t="shared" si="428"/>
        <v>105.90974440210566</v>
      </c>
      <c r="P930" s="67">
        <f t="shared" si="428"/>
        <v>100.22361820509052</v>
      </c>
    </row>
    <row r="931" spans="2:16" ht="13" hidden="1" outlineLevel="1" x14ac:dyDescent="0.3">
      <c r="B931" s="14"/>
      <c r="C931" s="13" t="s">
        <v>371</v>
      </c>
      <c r="D931" s="12" t="s">
        <v>41</v>
      </c>
      <c r="E931" s="12" t="s">
        <v>56</v>
      </c>
      <c r="F931" s="69">
        <v>88103.519696000003</v>
      </c>
      <c r="G931" s="14"/>
      <c r="H931" s="67">
        <f t="shared" ref="H931:P931" si="429">+IFERROR(AVERAGEIF(G762:H762,no_cero),0)</f>
        <v>0</v>
      </c>
      <c r="I931" s="67">
        <f t="shared" si="429"/>
        <v>0</v>
      </c>
      <c r="J931" s="67">
        <f t="shared" si="429"/>
        <v>0</v>
      </c>
      <c r="K931" s="67">
        <f t="shared" si="429"/>
        <v>0</v>
      </c>
      <c r="L931" s="67">
        <f t="shared" si="429"/>
        <v>0</v>
      </c>
      <c r="M931" s="67">
        <f t="shared" si="429"/>
        <v>270.40073319236285</v>
      </c>
      <c r="N931" s="67">
        <f t="shared" si="429"/>
        <v>256.87305927693507</v>
      </c>
      <c r="O931" s="67">
        <f t="shared" si="429"/>
        <v>233.58691248816763</v>
      </c>
      <c r="P931" s="67">
        <f t="shared" si="429"/>
        <v>218.61428262765457</v>
      </c>
    </row>
    <row r="932" spans="2:16" ht="13" hidden="1" outlineLevel="1" x14ac:dyDescent="0.3">
      <c r="B932" s="14"/>
      <c r="C932" s="13" t="s">
        <v>372</v>
      </c>
      <c r="D932" s="12" t="s">
        <v>41</v>
      </c>
      <c r="E932" s="12" t="s">
        <v>56</v>
      </c>
      <c r="F932" s="69">
        <v>50759.652610999998</v>
      </c>
      <c r="G932" s="14"/>
      <c r="H932" s="67">
        <f t="shared" ref="H932:P932" si="430">+IFERROR(AVERAGEIF(G763:H763,no_cero),0)</f>
        <v>0</v>
      </c>
      <c r="I932" s="67">
        <f t="shared" si="430"/>
        <v>0</v>
      </c>
      <c r="J932" s="67">
        <f t="shared" si="430"/>
        <v>0</v>
      </c>
      <c r="K932" s="67">
        <f t="shared" si="430"/>
        <v>0</v>
      </c>
      <c r="L932" s="67">
        <f t="shared" si="430"/>
        <v>0</v>
      </c>
      <c r="M932" s="67">
        <f t="shared" si="430"/>
        <v>155.78772936613095</v>
      </c>
      <c r="N932" s="67">
        <f t="shared" si="430"/>
        <v>147.99394279606753</v>
      </c>
      <c r="O932" s="67">
        <f t="shared" si="430"/>
        <v>134.57794391514821</v>
      </c>
      <c r="P932" s="67">
        <f t="shared" si="430"/>
        <v>125.95166549840485</v>
      </c>
    </row>
    <row r="933" spans="2:16" ht="13" hidden="1" outlineLevel="1" x14ac:dyDescent="0.3">
      <c r="B933" s="14"/>
      <c r="C933" s="13" t="s">
        <v>373</v>
      </c>
      <c r="D933" s="12" t="s">
        <v>41</v>
      </c>
      <c r="E933" s="12" t="s">
        <v>56</v>
      </c>
      <c r="F933" s="69">
        <v>36595.437463291928</v>
      </c>
      <c r="G933" s="14"/>
      <c r="H933" s="67">
        <f t="shared" ref="H933:P933" si="431">+IFERROR(AVERAGEIF(G764:H764,no_cero),0)</f>
        <v>0</v>
      </c>
      <c r="I933" s="67">
        <f t="shared" si="431"/>
        <v>0</v>
      </c>
      <c r="J933" s="67">
        <f t="shared" si="431"/>
        <v>0</v>
      </c>
      <c r="K933" s="67">
        <f t="shared" si="431"/>
        <v>0</v>
      </c>
      <c r="L933" s="67">
        <f t="shared" si="431"/>
        <v>0</v>
      </c>
      <c r="M933" s="67">
        <f t="shared" si="431"/>
        <v>0</v>
      </c>
      <c r="N933" s="67">
        <f t="shared" si="431"/>
        <v>137.07530064292706</v>
      </c>
      <c r="O933" s="67">
        <f t="shared" si="431"/>
        <v>132.24021475712743</v>
      </c>
      <c r="P933" s="67">
        <f t="shared" si="431"/>
        <v>125.14239878889926</v>
      </c>
    </row>
    <row r="934" spans="2:16" ht="13" hidden="1" outlineLevel="1" x14ac:dyDescent="0.3">
      <c r="B934" s="14"/>
      <c r="C934" s="13" t="s">
        <v>408</v>
      </c>
      <c r="D934" s="12" t="s">
        <v>41</v>
      </c>
      <c r="E934" s="12" t="s">
        <v>56</v>
      </c>
      <c r="F934" s="69">
        <v>13571.769992179556</v>
      </c>
      <c r="G934" s="14"/>
      <c r="H934" s="67">
        <f t="shared" ref="H934:P934" si="432">+IFERROR(AVERAGEIF(G765:H765,no_cero),0)</f>
        <v>17.544410085905593</v>
      </c>
      <c r="I934" s="67">
        <f t="shared" si="432"/>
        <v>16.894517257015323</v>
      </c>
      <c r="J934" s="67">
        <f t="shared" si="432"/>
        <v>16.130351035095742</v>
      </c>
      <c r="K934" s="67">
        <f t="shared" si="432"/>
        <v>15.985011484510096</v>
      </c>
      <c r="L934" s="67">
        <f t="shared" si="432"/>
        <v>16.290196562610696</v>
      </c>
      <c r="M934" s="67">
        <f t="shared" si="432"/>
        <v>16.540828698182143</v>
      </c>
      <c r="N934" s="67">
        <f t="shared" si="432"/>
        <v>15.719365114751463</v>
      </c>
      <c r="O934" s="67">
        <f t="shared" si="432"/>
        <v>14.471964450956179</v>
      </c>
      <c r="P934" s="67">
        <f t="shared" si="432"/>
        <v>13.730354906109095</v>
      </c>
    </row>
    <row r="935" spans="2:16" ht="13" hidden="1" outlineLevel="1" x14ac:dyDescent="0.3">
      <c r="B935" s="14"/>
      <c r="C935" s="13" t="s">
        <v>409</v>
      </c>
      <c r="D935" s="12" t="s">
        <v>41</v>
      </c>
      <c r="E935" s="12" t="s">
        <v>56</v>
      </c>
      <c r="F935" s="69">
        <v>11267.170107976352</v>
      </c>
      <c r="G935" s="14"/>
      <c r="H935" s="67">
        <f t="shared" ref="H935:P935" si="433">+IFERROR(AVERAGEIF(G766:H766,no_cero),0)</f>
        <v>13.050662131181953</v>
      </c>
      <c r="I935" s="67">
        <f t="shared" si="433"/>
        <v>14.065450304783035</v>
      </c>
      <c r="J935" s="67">
        <f t="shared" si="433"/>
        <v>14.139847711597509</v>
      </c>
      <c r="K935" s="67">
        <f t="shared" si="433"/>
        <v>13.185565919092817</v>
      </c>
      <c r="L935" s="67">
        <f t="shared" si="433"/>
        <v>13.46257183262459</v>
      </c>
      <c r="M935" s="67">
        <f t="shared" si="433"/>
        <v>13.696813385210795</v>
      </c>
      <c r="N935" s="67">
        <f t="shared" si="433"/>
        <v>13.044140223028839</v>
      </c>
      <c r="O935" s="67">
        <f t="shared" si="433"/>
        <v>12.037211602233345</v>
      </c>
      <c r="P935" s="67">
        <f t="shared" si="433"/>
        <v>11.44952631869112</v>
      </c>
    </row>
    <row r="936" spans="2:16" ht="13" hidden="1" outlineLevel="1" x14ac:dyDescent="0.3">
      <c r="B936" s="14"/>
      <c r="C936" s="13" t="s">
        <v>410</v>
      </c>
      <c r="D936" s="12" t="s">
        <v>41</v>
      </c>
      <c r="E936" s="12" t="s">
        <v>56</v>
      </c>
      <c r="F936" s="69">
        <v>15.781249999999998</v>
      </c>
      <c r="G936" s="14"/>
      <c r="H936" s="67">
        <f t="shared" ref="H936:P936" si="434">+IFERROR(AVERAGEIF(G767:H767,no_cero),0)</f>
        <v>8.4166666666666667E-2</v>
      </c>
      <c r="I936" s="67">
        <f t="shared" si="434"/>
        <v>6.7608720994788693E-2</v>
      </c>
      <c r="J936" s="67">
        <f t="shared" si="434"/>
        <v>3.5941662267432617E-2</v>
      </c>
      <c r="K936" s="67">
        <f t="shared" si="434"/>
        <v>2.0832549211954508E-2</v>
      </c>
      <c r="L936" s="67">
        <f t="shared" si="434"/>
        <v>0</v>
      </c>
      <c r="M936" s="67">
        <f t="shared" si="434"/>
        <v>0</v>
      </c>
      <c r="N936" s="67">
        <f t="shared" si="434"/>
        <v>0</v>
      </c>
      <c r="O936" s="67">
        <f t="shared" si="434"/>
        <v>0</v>
      </c>
      <c r="P936" s="67">
        <f t="shared" si="434"/>
        <v>0</v>
      </c>
    </row>
    <row r="937" spans="2:16" ht="13" hidden="1" outlineLevel="1" x14ac:dyDescent="0.3">
      <c r="B937" s="14"/>
      <c r="C937" s="13" t="s">
        <v>411</v>
      </c>
      <c r="D937" s="12" t="s">
        <v>41</v>
      </c>
      <c r="E937" s="12" t="s">
        <v>56</v>
      </c>
      <c r="F937" s="69">
        <v>8089.7010915268766</v>
      </c>
      <c r="G937" s="14"/>
      <c r="H937" s="67">
        <f t="shared" ref="H937:P937" si="435">+IFERROR(AVERAGEIF(G768:H768,no_cero),0)</f>
        <v>0</v>
      </c>
      <c r="I937" s="67">
        <f t="shared" si="435"/>
        <v>11.835780003022325</v>
      </c>
      <c r="J937" s="67">
        <f t="shared" si="435"/>
        <v>9.3869145290644429</v>
      </c>
      <c r="K937" s="67">
        <f t="shared" si="435"/>
        <v>6.9769069133896373</v>
      </c>
      <c r="L937" s="67">
        <f t="shared" si="435"/>
        <v>8.8782587577602712</v>
      </c>
      <c r="M937" s="67">
        <f t="shared" si="435"/>
        <v>20.189833031642163</v>
      </c>
      <c r="N937" s="67">
        <f t="shared" si="435"/>
        <v>22.819123789827511</v>
      </c>
      <c r="O937" s="67">
        <f t="shared" si="435"/>
        <v>10.156167894031352</v>
      </c>
      <c r="P937" s="67">
        <f t="shared" si="435"/>
        <v>4.3130015278441753</v>
      </c>
    </row>
    <row r="938" spans="2:16" ht="13" hidden="1" outlineLevel="1" x14ac:dyDescent="0.3">
      <c r="B938" s="14"/>
      <c r="C938" s="13" t="s">
        <v>129</v>
      </c>
      <c r="D938" s="12" t="s">
        <v>41</v>
      </c>
      <c r="E938" s="12" t="s">
        <v>56</v>
      </c>
      <c r="F938" s="69">
        <v>128.08410583333324</v>
      </c>
      <c r="G938" s="14"/>
      <c r="H938" s="67">
        <f t="shared" ref="H938:P938" si="436">+IFERROR(AVERAGEIF(G769:H769,no_cero),0)</f>
        <v>0</v>
      </c>
      <c r="I938" s="67">
        <f t="shared" si="436"/>
        <v>0</v>
      </c>
      <c r="J938" s="67">
        <f t="shared" si="436"/>
        <v>0</v>
      </c>
      <c r="K938" s="67">
        <f t="shared" si="436"/>
        <v>0.77952802713720892</v>
      </c>
      <c r="L938" s="67">
        <f t="shared" si="436"/>
        <v>0.61023327555087403</v>
      </c>
      <c r="M938" s="67">
        <f t="shared" si="436"/>
        <v>0.24059663633217349</v>
      </c>
      <c r="N938" s="67">
        <f t="shared" si="436"/>
        <v>4.0254748699807844E-2</v>
      </c>
      <c r="O938" s="67">
        <f t="shared" si="436"/>
        <v>0</v>
      </c>
      <c r="P938" s="67">
        <f t="shared" si="436"/>
        <v>0</v>
      </c>
    </row>
    <row r="939" spans="2:16" ht="13" hidden="1" outlineLevel="1" x14ac:dyDescent="0.3">
      <c r="B939" s="14"/>
      <c r="C939" s="13" t="s">
        <v>412</v>
      </c>
      <c r="D939" s="12" t="s">
        <v>41</v>
      </c>
      <c r="E939" s="12" t="s">
        <v>56</v>
      </c>
      <c r="F939" s="69">
        <v>7495.2646782440479</v>
      </c>
      <c r="G939" s="14"/>
      <c r="H939" s="67">
        <f t="shared" ref="H939:P939" si="437">+IFERROR(AVERAGEIF(G770:H770,no_cero),0)</f>
        <v>0</v>
      </c>
      <c r="I939" s="67">
        <f t="shared" si="437"/>
        <v>0</v>
      </c>
      <c r="J939" s="67">
        <f t="shared" si="437"/>
        <v>0</v>
      </c>
      <c r="K939" s="67">
        <f t="shared" si="437"/>
        <v>0</v>
      </c>
      <c r="L939" s="67">
        <f t="shared" si="437"/>
        <v>14.207809755399703</v>
      </c>
      <c r="M939" s="67">
        <f t="shared" si="437"/>
        <v>16.13213887768892</v>
      </c>
      <c r="N939" s="67">
        <f t="shared" si="437"/>
        <v>16.576979754561542</v>
      </c>
      <c r="O939" s="67">
        <f t="shared" si="437"/>
        <v>16.498965387220181</v>
      </c>
      <c r="P939" s="67">
        <f t="shared" si="437"/>
        <v>16.866041309169486</v>
      </c>
    </row>
    <row r="940" spans="2:16" ht="13" hidden="1" outlineLevel="1" x14ac:dyDescent="0.3">
      <c r="B940" s="14"/>
      <c r="C940" s="13" t="s">
        <v>413</v>
      </c>
      <c r="D940" s="12" t="s">
        <v>41</v>
      </c>
      <c r="E940" s="12" t="s">
        <v>56</v>
      </c>
      <c r="F940" s="69">
        <v>20659.621549912477</v>
      </c>
      <c r="G940" s="14"/>
      <c r="H940" s="67">
        <f t="shared" ref="H940:P940" si="438">+IFERROR(AVERAGEIF(G771:H771,no_cero),0)</f>
        <v>0</v>
      </c>
      <c r="I940" s="67">
        <f t="shared" si="438"/>
        <v>0</v>
      </c>
      <c r="J940" s="67">
        <f t="shared" si="438"/>
        <v>0</v>
      </c>
      <c r="K940" s="67">
        <f t="shared" si="438"/>
        <v>0</v>
      </c>
      <c r="L940" s="67">
        <f t="shared" si="438"/>
        <v>0</v>
      </c>
      <c r="M940" s="67">
        <f t="shared" si="438"/>
        <v>62.490484667040469</v>
      </c>
      <c r="N940" s="67">
        <f t="shared" si="438"/>
        <v>59.631887447597535</v>
      </c>
      <c r="O940" s="67">
        <f t="shared" si="438"/>
        <v>54.770186394848366</v>
      </c>
      <c r="P940" s="67">
        <f t="shared" si="438"/>
        <v>51.829376570440111</v>
      </c>
    </row>
    <row r="941" spans="2:16" ht="13" hidden="1" outlineLevel="1" x14ac:dyDescent="0.3">
      <c r="B941" s="14"/>
      <c r="C941" s="13" t="s">
        <v>414</v>
      </c>
      <c r="D941" s="12" t="s">
        <v>41</v>
      </c>
      <c r="E941" s="12" t="s">
        <v>56</v>
      </c>
      <c r="F941" s="69">
        <v>874.17021582136442</v>
      </c>
      <c r="G941" s="14"/>
      <c r="H941" s="67">
        <f t="shared" ref="H941:P941" si="439">+IFERROR(AVERAGEIF(G772:H772,no_cero),0)</f>
        <v>0</v>
      </c>
      <c r="I941" s="67">
        <f t="shared" si="439"/>
        <v>0</v>
      </c>
      <c r="J941" s="67">
        <f t="shared" si="439"/>
        <v>0</v>
      </c>
      <c r="K941" s="67">
        <f t="shared" si="439"/>
        <v>0</v>
      </c>
      <c r="L941" s="67">
        <f t="shared" si="439"/>
        <v>0</v>
      </c>
      <c r="M941" s="67">
        <f t="shared" si="439"/>
        <v>2.6441588165684404</v>
      </c>
      <c r="N941" s="67">
        <f t="shared" si="439"/>
        <v>2.5232030409638595</v>
      </c>
      <c r="O941" s="67">
        <f t="shared" si="439"/>
        <v>2.3174899668752058</v>
      </c>
      <c r="P941" s="67">
        <f t="shared" si="439"/>
        <v>2.1930555307127753</v>
      </c>
    </row>
    <row r="942" spans="2:16" ht="13" hidden="1" outlineLevel="1" x14ac:dyDescent="0.3">
      <c r="B942" s="14"/>
      <c r="C942" s="13" t="s">
        <v>415</v>
      </c>
      <c r="D942" s="12" t="s">
        <v>41</v>
      </c>
      <c r="E942" s="12" t="s">
        <v>56</v>
      </c>
      <c r="F942" s="69">
        <v>8942.0432335480255</v>
      </c>
      <c r="G942" s="14"/>
      <c r="H942" s="67">
        <f t="shared" ref="H942:P942" si="440">+IFERROR(AVERAGEIF(G773:H773,no_cero),0)</f>
        <v>0</v>
      </c>
      <c r="I942" s="67">
        <f t="shared" si="440"/>
        <v>0</v>
      </c>
      <c r="J942" s="67">
        <f t="shared" si="440"/>
        <v>0</v>
      </c>
      <c r="K942" s="67">
        <f t="shared" si="440"/>
        <v>0</v>
      </c>
      <c r="L942" s="67">
        <f t="shared" si="440"/>
        <v>0</v>
      </c>
      <c r="M942" s="67">
        <f t="shared" si="440"/>
        <v>27.047572688010494</v>
      </c>
      <c r="N942" s="67">
        <f t="shared" si="440"/>
        <v>25.810294460923746</v>
      </c>
      <c r="O942" s="67">
        <f t="shared" si="440"/>
        <v>23.706018692984856</v>
      </c>
      <c r="P942" s="67">
        <f t="shared" si="440"/>
        <v>22.433156625886014</v>
      </c>
    </row>
    <row r="943" spans="2:16" ht="13" hidden="1" outlineLevel="1" x14ac:dyDescent="0.3">
      <c r="B943" s="14"/>
      <c r="C943" s="13" t="s">
        <v>416</v>
      </c>
      <c r="D943" s="12" t="s">
        <v>41</v>
      </c>
      <c r="E943" s="12" t="s">
        <v>56</v>
      </c>
      <c r="F943" s="69">
        <v>1364.3953526413827</v>
      </c>
      <c r="G943" s="14"/>
      <c r="H943" s="67">
        <f t="shared" ref="H943:P943" si="441">+IFERROR(AVERAGEIF(G774:H774,no_cero),0)</f>
        <v>0</v>
      </c>
      <c r="I943" s="67">
        <f t="shared" si="441"/>
        <v>0</v>
      </c>
      <c r="J943" s="67">
        <f t="shared" si="441"/>
        <v>0</v>
      </c>
      <c r="K943" s="67">
        <f t="shared" si="441"/>
        <v>0</v>
      </c>
      <c r="L943" s="67">
        <f t="shared" si="441"/>
        <v>0</v>
      </c>
      <c r="M943" s="67">
        <f t="shared" si="441"/>
        <v>4.1269742845012951</v>
      </c>
      <c r="N943" s="67">
        <f t="shared" si="441"/>
        <v>3.9381878272150992</v>
      </c>
      <c r="O943" s="67">
        <f t="shared" si="441"/>
        <v>3.6171131015103217</v>
      </c>
      <c r="P943" s="67">
        <f t="shared" si="441"/>
        <v>3.4228971887100341</v>
      </c>
    </row>
    <row r="944" spans="2:16" ht="13" hidden="1" outlineLevel="1" x14ac:dyDescent="0.3">
      <c r="B944" s="14"/>
      <c r="C944" s="13" t="s">
        <v>417</v>
      </c>
      <c r="D944" s="12" t="s">
        <v>41</v>
      </c>
      <c r="E944" s="12" t="s">
        <v>56</v>
      </c>
      <c r="F944" s="69">
        <v>19.514894999999999</v>
      </c>
      <c r="G944" s="14"/>
      <c r="H944" s="67">
        <f t="shared" ref="H944:P944" si="442">+IFERROR(AVERAGEIF(G775:H775,no_cero),0)</f>
        <v>0</v>
      </c>
      <c r="I944" s="67">
        <f t="shared" si="442"/>
        <v>0</v>
      </c>
      <c r="J944" s="67">
        <f t="shared" si="442"/>
        <v>0</v>
      </c>
      <c r="K944" s="67">
        <f t="shared" si="442"/>
        <v>0</v>
      </c>
      <c r="L944" s="67">
        <f t="shared" si="442"/>
        <v>0</v>
      </c>
      <c r="M944" s="67">
        <f t="shared" si="442"/>
        <v>5.9030451279400334E-2</v>
      </c>
      <c r="N944" s="67">
        <f t="shared" si="442"/>
        <v>5.6329392313013718E-2</v>
      </c>
      <c r="O944" s="67">
        <f t="shared" si="442"/>
        <v>5.1735443016155437E-2</v>
      </c>
      <c r="P944" s="67">
        <f t="shared" si="442"/>
        <v>4.8956028266186093E-2</v>
      </c>
    </row>
    <row r="945" spans="2:16" ht="13" hidden="1" outlineLevel="1" x14ac:dyDescent="0.3">
      <c r="B945" s="14"/>
      <c r="C945" s="13" t="s">
        <v>418</v>
      </c>
      <c r="D945" s="12" t="s">
        <v>41</v>
      </c>
      <c r="E945" s="12" t="s">
        <v>56</v>
      </c>
      <c r="F945" s="69">
        <v>1094.5397259964095</v>
      </c>
      <c r="G945" s="14"/>
      <c r="H945" s="67">
        <f t="shared" ref="H945:P945" si="443">+IFERROR(AVERAGEIF(G776:H776,no_cero),0)</f>
        <v>0</v>
      </c>
      <c r="I945" s="67">
        <f t="shared" si="443"/>
        <v>0</v>
      </c>
      <c r="J945" s="67">
        <f t="shared" si="443"/>
        <v>0</v>
      </c>
      <c r="K945" s="67">
        <f t="shared" si="443"/>
        <v>0</v>
      </c>
      <c r="L945" s="67">
        <f t="shared" si="443"/>
        <v>0</v>
      </c>
      <c r="M945" s="67">
        <f t="shared" si="443"/>
        <v>3.3107246325688409</v>
      </c>
      <c r="N945" s="67">
        <f t="shared" si="443"/>
        <v>3.1592771237292405</v>
      </c>
      <c r="O945" s="67">
        <f t="shared" si="443"/>
        <v>2.9017058548027261</v>
      </c>
      <c r="P945" s="67">
        <f t="shared" si="443"/>
        <v>2.7459027501021467</v>
      </c>
    </row>
    <row r="946" spans="2:16" ht="13" hidden="1" outlineLevel="1" x14ac:dyDescent="0.3">
      <c r="B946" s="14"/>
      <c r="C946" s="13" t="s">
        <v>419</v>
      </c>
      <c r="D946" s="12" t="s">
        <v>41</v>
      </c>
      <c r="E946" s="12" t="s">
        <v>56</v>
      </c>
      <c r="F946" s="69">
        <v>4733.1346560076299</v>
      </c>
      <c r="G946" s="14"/>
      <c r="H946" s="67">
        <f t="shared" ref="H946:P946" si="444">+IFERROR(AVERAGEIF(G777:H777,no_cero),0)</f>
        <v>0</v>
      </c>
      <c r="I946" s="67">
        <f t="shared" si="444"/>
        <v>0</v>
      </c>
      <c r="J946" s="67">
        <f t="shared" si="444"/>
        <v>0</v>
      </c>
      <c r="K946" s="67">
        <f t="shared" si="444"/>
        <v>0</v>
      </c>
      <c r="L946" s="67">
        <f t="shared" si="444"/>
        <v>0</v>
      </c>
      <c r="M946" s="67">
        <f t="shared" si="444"/>
        <v>14.316616494339202</v>
      </c>
      <c r="N946" s="67">
        <f t="shared" si="444"/>
        <v>13.661709746206165</v>
      </c>
      <c r="O946" s="67">
        <f t="shared" si="444"/>
        <v>12.547890420700984</v>
      </c>
      <c r="P946" s="67">
        <f t="shared" si="444"/>
        <v>11.874148703651311</v>
      </c>
    </row>
    <row r="947" spans="2:16" ht="13" hidden="1" outlineLevel="1" x14ac:dyDescent="0.3">
      <c r="B947" s="14"/>
      <c r="C947" s="13" t="s">
        <v>420</v>
      </c>
      <c r="D947" s="12" t="s">
        <v>41</v>
      </c>
      <c r="E947" s="12" t="s">
        <v>56</v>
      </c>
      <c r="F947" s="69">
        <v>93.856597845601428</v>
      </c>
      <c r="G947" s="14"/>
      <c r="H947" s="67">
        <f t="shared" ref="H947:P947" si="445">+IFERROR(AVERAGEIF(G778:H778,no_cero),0)</f>
        <v>0</v>
      </c>
      <c r="I947" s="67">
        <f t="shared" si="445"/>
        <v>0</v>
      </c>
      <c r="J947" s="67">
        <f t="shared" si="445"/>
        <v>0</v>
      </c>
      <c r="K947" s="67">
        <f t="shared" si="445"/>
        <v>0</v>
      </c>
      <c r="L947" s="67">
        <f t="shared" si="445"/>
        <v>0</v>
      </c>
      <c r="M947" s="67">
        <f t="shared" si="445"/>
        <v>0.28389408171883895</v>
      </c>
      <c r="N947" s="67">
        <f t="shared" si="445"/>
        <v>0.27090748324801911</v>
      </c>
      <c r="O947" s="67">
        <f t="shared" si="445"/>
        <v>0.24882079015681155</v>
      </c>
      <c r="P947" s="67">
        <f t="shared" si="445"/>
        <v>0.23546070007176112</v>
      </c>
    </row>
    <row r="948" spans="2:16" ht="13" hidden="1" outlineLevel="1" x14ac:dyDescent="0.3">
      <c r="B948" s="14"/>
      <c r="C948" s="13" t="s">
        <v>421</v>
      </c>
      <c r="D948" s="12" t="s">
        <v>41</v>
      </c>
      <c r="E948" s="12" t="s">
        <v>56</v>
      </c>
      <c r="F948" s="69">
        <v>202.55868148563738</v>
      </c>
      <c r="G948" s="14"/>
      <c r="H948" s="67">
        <f t="shared" ref="H948:P948" si="446">+IFERROR(AVERAGEIF(G779:H779,no_cero),0)</f>
        <v>0</v>
      </c>
      <c r="I948" s="67">
        <f t="shared" si="446"/>
        <v>0</v>
      </c>
      <c r="J948" s="67">
        <f t="shared" si="446"/>
        <v>0</v>
      </c>
      <c r="K948" s="67">
        <f t="shared" si="446"/>
        <v>0</v>
      </c>
      <c r="L948" s="67">
        <f t="shared" si="446"/>
        <v>0</v>
      </c>
      <c r="M948" s="67">
        <f t="shared" si="446"/>
        <v>0.61269225813131012</v>
      </c>
      <c r="N948" s="67">
        <f t="shared" si="446"/>
        <v>0.58466494493634391</v>
      </c>
      <c r="O948" s="67">
        <f t="shared" si="446"/>
        <v>0.53699806233430636</v>
      </c>
      <c r="P948" s="67">
        <f t="shared" si="446"/>
        <v>0.50816468999527298</v>
      </c>
    </row>
    <row r="949" spans="2:16" ht="13" hidden="1" outlineLevel="1" x14ac:dyDescent="0.3">
      <c r="B949" s="14"/>
      <c r="C949" s="13" t="s">
        <v>422</v>
      </c>
      <c r="D949" s="12" t="s">
        <v>41</v>
      </c>
      <c r="E949" s="12" t="s">
        <v>56</v>
      </c>
      <c r="F949" s="69">
        <v>9199.0217725112216</v>
      </c>
      <c r="G949" s="14"/>
      <c r="H949" s="67">
        <f t="shared" ref="H949:P949" si="447">+IFERROR(AVERAGEIF(G780:H780,no_cero),0)</f>
        <v>0</v>
      </c>
      <c r="I949" s="67">
        <f t="shared" si="447"/>
        <v>0</v>
      </c>
      <c r="J949" s="67">
        <f t="shared" si="447"/>
        <v>0</v>
      </c>
      <c r="K949" s="67">
        <f t="shared" si="447"/>
        <v>0</v>
      </c>
      <c r="L949" s="67">
        <f t="shared" si="447"/>
        <v>0</v>
      </c>
      <c r="M949" s="67">
        <f t="shared" si="447"/>
        <v>27.824872185488761</v>
      </c>
      <c r="N949" s="67">
        <f t="shared" si="447"/>
        <v>26.552036766070977</v>
      </c>
      <c r="O949" s="67">
        <f t="shared" si="447"/>
        <v>24.38728782681126</v>
      </c>
      <c r="P949" s="67">
        <f t="shared" si="447"/>
        <v>23.07784595062834</v>
      </c>
    </row>
    <row r="950" spans="2:16" ht="13" hidden="1" outlineLevel="1" x14ac:dyDescent="0.3">
      <c r="B950" s="14"/>
      <c r="C950" s="13" t="s">
        <v>423</v>
      </c>
      <c r="D950" s="12" t="s">
        <v>41</v>
      </c>
      <c r="E950" s="12" t="s">
        <v>56</v>
      </c>
      <c r="F950" s="69">
        <v>13824.650565989676</v>
      </c>
      <c r="G950" s="14"/>
      <c r="H950" s="67">
        <f t="shared" ref="H950:P950" si="448">+IFERROR(AVERAGEIF(G781:H781,no_cero),0)</f>
        <v>0</v>
      </c>
      <c r="I950" s="67">
        <f t="shared" si="448"/>
        <v>0</v>
      </c>
      <c r="J950" s="67">
        <f t="shared" si="448"/>
        <v>0</v>
      </c>
      <c r="K950" s="67">
        <f t="shared" si="448"/>
        <v>0</v>
      </c>
      <c r="L950" s="67">
        <f t="shared" si="448"/>
        <v>0</v>
      </c>
      <c r="M950" s="67">
        <f t="shared" si="448"/>
        <v>41.816308790265815</v>
      </c>
      <c r="N950" s="67">
        <f t="shared" si="448"/>
        <v>39.903441820644304</v>
      </c>
      <c r="O950" s="67">
        <f t="shared" si="448"/>
        <v>36.650172246069452</v>
      </c>
      <c r="P950" s="67">
        <f t="shared" si="448"/>
        <v>34.682291658070689</v>
      </c>
    </row>
    <row r="951" spans="2:16" ht="13" hidden="1" outlineLevel="1" x14ac:dyDescent="0.3">
      <c r="B951" s="14"/>
      <c r="C951" s="13" t="s">
        <v>424</v>
      </c>
      <c r="D951" s="12" t="s">
        <v>41</v>
      </c>
      <c r="E951" s="12" t="s">
        <v>56</v>
      </c>
      <c r="F951" s="69">
        <v>6661.9864413330361</v>
      </c>
      <c r="G951" s="14"/>
      <c r="H951" s="67">
        <f t="shared" ref="H951:P951" si="449">+IFERROR(AVERAGEIF(G782:H782,no_cero),0)</f>
        <v>0</v>
      </c>
      <c r="I951" s="67">
        <f t="shared" si="449"/>
        <v>0</v>
      </c>
      <c r="J951" s="67">
        <f t="shared" si="449"/>
        <v>0</v>
      </c>
      <c r="K951" s="67">
        <f t="shared" si="449"/>
        <v>0</v>
      </c>
      <c r="L951" s="67">
        <f t="shared" si="449"/>
        <v>0</v>
      </c>
      <c r="M951" s="67">
        <f t="shared" si="449"/>
        <v>20.150938416677683</v>
      </c>
      <c r="N951" s="67">
        <f t="shared" si="449"/>
        <v>19.229143413262346</v>
      </c>
      <c r="O951" s="67">
        <f t="shared" si="449"/>
        <v>17.661419318366395</v>
      </c>
      <c r="P951" s="67">
        <f t="shared" si="449"/>
        <v>16.713113700598207</v>
      </c>
    </row>
    <row r="952" spans="2:16" ht="13" hidden="1" outlineLevel="1" x14ac:dyDescent="0.3">
      <c r="B952" s="14"/>
      <c r="C952" s="13" t="s">
        <v>425</v>
      </c>
      <c r="D952" s="12" t="s">
        <v>41</v>
      </c>
      <c r="E952" s="12" t="s">
        <v>56</v>
      </c>
      <c r="F952" s="69">
        <v>371.40362251346494</v>
      </c>
      <c r="G952" s="14"/>
      <c r="H952" s="67">
        <f t="shared" ref="H952:P952" si="450">+IFERROR(AVERAGEIF(G783:H783,no_cero),0)</f>
        <v>0</v>
      </c>
      <c r="I952" s="67">
        <f t="shared" si="450"/>
        <v>0</v>
      </c>
      <c r="J952" s="67">
        <f t="shared" si="450"/>
        <v>0</v>
      </c>
      <c r="K952" s="67">
        <f t="shared" si="450"/>
        <v>0</v>
      </c>
      <c r="L952" s="67">
        <f t="shared" si="450"/>
        <v>0</v>
      </c>
      <c r="M952" s="67">
        <f t="shared" si="450"/>
        <v>1.1234083994176207</v>
      </c>
      <c r="N952" s="67">
        <f t="shared" si="450"/>
        <v>1.0720186215340797</v>
      </c>
      <c r="O952" s="67">
        <f t="shared" si="450"/>
        <v>0.98461850250449301</v>
      </c>
      <c r="P952" s="67">
        <f t="shared" si="450"/>
        <v>0.93175076631340858</v>
      </c>
    </row>
    <row r="953" spans="2:16" ht="13" hidden="1" outlineLevel="1" x14ac:dyDescent="0.3">
      <c r="B953" s="14"/>
      <c r="C953" s="13" t="s">
        <v>426</v>
      </c>
      <c r="D953" s="12" t="s">
        <v>41</v>
      </c>
      <c r="E953" s="12" t="s">
        <v>56</v>
      </c>
      <c r="F953" s="69">
        <v>4127.1093238509866</v>
      </c>
      <c r="G953" s="14"/>
      <c r="H953" s="67">
        <f t="shared" ref="H953:P953" si="451">+IFERROR(AVERAGEIF(G784:H784,no_cero),0)</f>
        <v>0</v>
      </c>
      <c r="I953" s="67">
        <f t="shared" si="451"/>
        <v>0</v>
      </c>
      <c r="J953" s="67">
        <f t="shared" si="451"/>
        <v>0</v>
      </c>
      <c r="K953" s="67">
        <f t="shared" si="451"/>
        <v>0</v>
      </c>
      <c r="L953" s="67">
        <f t="shared" si="451"/>
        <v>0</v>
      </c>
      <c r="M953" s="67">
        <f t="shared" si="451"/>
        <v>12.483532735496912</v>
      </c>
      <c r="N953" s="67">
        <f t="shared" si="451"/>
        <v>11.912479523849507</v>
      </c>
      <c r="O953" s="67">
        <f t="shared" si="451"/>
        <v>10.941272394227028</v>
      </c>
      <c r="P953" s="67">
        <f t="shared" si="451"/>
        <v>10.353795822274076</v>
      </c>
    </row>
    <row r="954" spans="2:16" ht="13" hidden="1" outlineLevel="1" x14ac:dyDescent="0.3">
      <c r="B954" s="14"/>
      <c r="C954" s="13" t="s">
        <v>427</v>
      </c>
      <c r="D954" s="12" t="s">
        <v>41</v>
      </c>
      <c r="E954" s="12" t="s">
        <v>56</v>
      </c>
      <c r="F954" s="69">
        <v>3838.8193228231594</v>
      </c>
      <c r="G954" s="14"/>
      <c r="H954" s="67">
        <f t="shared" ref="H954:P954" si="452">+IFERROR(AVERAGEIF(G785:H785,no_cero),0)</f>
        <v>0</v>
      </c>
      <c r="I954" s="67">
        <f t="shared" si="452"/>
        <v>0</v>
      </c>
      <c r="J954" s="67">
        <f t="shared" si="452"/>
        <v>0</v>
      </c>
      <c r="K954" s="67">
        <f t="shared" si="452"/>
        <v>0</v>
      </c>
      <c r="L954" s="67">
        <f t="shared" si="452"/>
        <v>0</v>
      </c>
      <c r="M954" s="67">
        <f t="shared" si="452"/>
        <v>11.61152344697406</v>
      </c>
      <c r="N954" s="67">
        <f t="shared" si="452"/>
        <v>11.080359881578904</v>
      </c>
      <c r="O954" s="67">
        <f t="shared" si="452"/>
        <v>10.176994256124733</v>
      </c>
      <c r="P954" s="67">
        <f t="shared" si="452"/>
        <v>9.6305545475650955</v>
      </c>
    </row>
    <row r="955" spans="2:16" ht="13" hidden="1" outlineLevel="1" x14ac:dyDescent="0.3">
      <c r="B955" s="14"/>
      <c r="C955" s="13" t="s">
        <v>428</v>
      </c>
      <c r="D955" s="12" t="s">
        <v>41</v>
      </c>
      <c r="E955" s="12" t="s">
        <v>56</v>
      </c>
      <c r="F955" s="69">
        <v>3131.6710901009869</v>
      </c>
      <c r="G955" s="14"/>
      <c r="H955" s="67">
        <f t="shared" ref="H955:P955" si="453">+IFERROR(AVERAGEIF(G786:H786,no_cero),0)</f>
        <v>0</v>
      </c>
      <c r="I955" s="67">
        <f t="shared" si="453"/>
        <v>0</v>
      </c>
      <c r="J955" s="67">
        <f t="shared" si="453"/>
        <v>0</v>
      </c>
      <c r="K955" s="67">
        <f t="shared" si="453"/>
        <v>0</v>
      </c>
      <c r="L955" s="67">
        <f t="shared" si="453"/>
        <v>0</v>
      </c>
      <c r="M955" s="67">
        <f t="shared" si="453"/>
        <v>9.4725667537215195</v>
      </c>
      <c r="N955" s="67">
        <f t="shared" si="453"/>
        <v>9.0392487353471509</v>
      </c>
      <c r="O955" s="67">
        <f t="shared" si="453"/>
        <v>8.3022919329766562</v>
      </c>
      <c r="P955" s="67">
        <f t="shared" si="453"/>
        <v>7.8565117870851013</v>
      </c>
    </row>
    <row r="956" spans="2:16" ht="13" hidden="1" outlineLevel="1" x14ac:dyDescent="0.3">
      <c r="B956" s="14"/>
      <c r="C956" s="13" t="s">
        <v>429</v>
      </c>
      <c r="D956" s="12" t="s">
        <v>41</v>
      </c>
      <c r="E956" s="12" t="s">
        <v>56</v>
      </c>
      <c r="F956" s="69">
        <v>5565.7664194367162</v>
      </c>
      <c r="G956" s="14"/>
      <c r="H956" s="67">
        <f t="shared" ref="H956:P956" si="454">+IFERROR(AVERAGEIF(G787:H787,no_cero),0)</f>
        <v>0</v>
      </c>
      <c r="I956" s="67">
        <f t="shared" si="454"/>
        <v>0</v>
      </c>
      <c r="J956" s="67">
        <f t="shared" si="454"/>
        <v>0</v>
      </c>
      <c r="K956" s="67">
        <f t="shared" si="454"/>
        <v>0</v>
      </c>
      <c r="L956" s="67">
        <f t="shared" si="454"/>
        <v>0</v>
      </c>
      <c r="M956" s="67">
        <f t="shared" si="454"/>
        <v>16.835131285142651</v>
      </c>
      <c r="N956" s="67">
        <f t="shared" si="454"/>
        <v>16.065016287042017</v>
      </c>
      <c r="O956" s="67">
        <f t="shared" si="454"/>
        <v>14.755258874721653</v>
      </c>
      <c r="P956" s="67">
        <f t="shared" si="454"/>
        <v>13.962995544674815</v>
      </c>
    </row>
    <row r="957" spans="2:16" ht="13" hidden="1" outlineLevel="1" x14ac:dyDescent="0.3">
      <c r="B957" s="14"/>
      <c r="C957" s="13" t="s">
        <v>430</v>
      </c>
      <c r="D957" s="12" t="s">
        <v>41</v>
      </c>
      <c r="E957" s="12" t="s">
        <v>56</v>
      </c>
      <c r="F957" s="69">
        <v>5228.5282504151701</v>
      </c>
      <c r="G957" s="14"/>
      <c r="H957" s="67">
        <f t="shared" ref="H957:P957" si="455">+IFERROR(AVERAGEIF(G788:H788,no_cero),0)</f>
        <v>0</v>
      </c>
      <c r="I957" s="67">
        <f t="shared" si="455"/>
        <v>0</v>
      </c>
      <c r="J957" s="67">
        <f t="shared" si="455"/>
        <v>0</v>
      </c>
      <c r="K957" s="67">
        <f t="shared" si="455"/>
        <v>0</v>
      </c>
      <c r="L957" s="67">
        <f t="shared" si="455"/>
        <v>0</v>
      </c>
      <c r="M957" s="67">
        <f t="shared" si="455"/>
        <v>15.815065328006517</v>
      </c>
      <c r="N957" s="67">
        <f t="shared" si="455"/>
        <v>15.091612757381913</v>
      </c>
      <c r="O957" s="67">
        <f t="shared" si="455"/>
        <v>13.861215519080137</v>
      </c>
      <c r="P957" s="67">
        <f t="shared" si="455"/>
        <v>13.116956617295841</v>
      </c>
    </row>
    <row r="958" spans="2:16" ht="13" hidden="1" outlineLevel="1" x14ac:dyDescent="0.3">
      <c r="B958" s="14"/>
      <c r="C958" s="13" t="s">
        <v>431</v>
      </c>
      <c r="D958" s="12" t="s">
        <v>41</v>
      </c>
      <c r="E958" s="12" t="s">
        <v>56</v>
      </c>
      <c r="F958" s="69">
        <v>2045.2585195399465</v>
      </c>
      <c r="G958" s="14"/>
      <c r="H958" s="67">
        <f t="shared" ref="H958:P958" si="456">+IFERROR(AVERAGEIF(G789:H789,no_cero),0)</f>
        <v>0</v>
      </c>
      <c r="I958" s="67">
        <f t="shared" si="456"/>
        <v>0</v>
      </c>
      <c r="J958" s="67">
        <f t="shared" si="456"/>
        <v>0</v>
      </c>
      <c r="K958" s="67">
        <f t="shared" si="456"/>
        <v>0</v>
      </c>
      <c r="L958" s="67">
        <f t="shared" si="456"/>
        <v>0</v>
      </c>
      <c r="M958" s="67">
        <f t="shared" si="456"/>
        <v>6.1864248503616155</v>
      </c>
      <c r="N958" s="67">
        <f t="shared" si="456"/>
        <v>5.9034298156813394</v>
      </c>
      <c r="O958" s="67">
        <f t="shared" si="456"/>
        <v>5.4221317689785593</v>
      </c>
      <c r="P958" s="67">
        <f t="shared" si="456"/>
        <v>5.1309978615550103</v>
      </c>
    </row>
    <row r="959" spans="2:16" ht="13" hidden="1" outlineLevel="1" x14ac:dyDescent="0.3">
      <c r="B959" s="14"/>
      <c r="C959" s="13" t="s">
        <v>432</v>
      </c>
      <c r="D959" s="12" t="s">
        <v>41</v>
      </c>
      <c r="E959" s="12" t="s">
        <v>56</v>
      </c>
      <c r="F959" s="69">
        <v>1388.3827338644523</v>
      </c>
      <c r="G959" s="14"/>
      <c r="H959" s="67">
        <f t="shared" ref="H959:P959" si="457">+IFERROR(AVERAGEIF(G790:H790,no_cero),0)</f>
        <v>0</v>
      </c>
      <c r="I959" s="67">
        <f t="shared" si="457"/>
        <v>0</v>
      </c>
      <c r="J959" s="67">
        <f t="shared" si="457"/>
        <v>0</v>
      </c>
      <c r="K959" s="67">
        <f t="shared" si="457"/>
        <v>0</v>
      </c>
      <c r="L959" s="67">
        <f t="shared" si="457"/>
        <v>0</v>
      </c>
      <c r="M959" s="67">
        <f t="shared" si="457"/>
        <v>4.1995304576577706</v>
      </c>
      <c r="N959" s="67">
        <f t="shared" si="457"/>
        <v>4.0074249530647155</v>
      </c>
      <c r="O959" s="67">
        <f t="shared" si="457"/>
        <v>3.6807054251904905</v>
      </c>
      <c r="P959" s="67">
        <f t="shared" si="457"/>
        <v>3.4830750100387338</v>
      </c>
    </row>
    <row r="960" spans="2:16" ht="13" hidden="1" outlineLevel="1" x14ac:dyDescent="0.3">
      <c r="B960" s="14"/>
      <c r="C960" s="13" t="s">
        <v>433</v>
      </c>
      <c r="D960" s="12" t="s">
        <v>41</v>
      </c>
      <c r="E960" s="12" t="s">
        <v>56</v>
      </c>
      <c r="F960" s="69">
        <v>203.02120679982048</v>
      </c>
      <c r="G960" s="14"/>
      <c r="H960" s="67">
        <f t="shared" ref="H960:P960" si="458">+IFERROR(AVERAGEIF(G791:H791,no_cero),0)</f>
        <v>0</v>
      </c>
      <c r="I960" s="67">
        <f t="shared" si="458"/>
        <v>0</v>
      </c>
      <c r="J960" s="67">
        <f t="shared" si="458"/>
        <v>0</v>
      </c>
      <c r="K960" s="67">
        <f t="shared" si="458"/>
        <v>0</v>
      </c>
      <c r="L960" s="67">
        <f t="shared" si="458"/>
        <v>0</v>
      </c>
      <c r="M960" s="67">
        <f t="shared" si="458"/>
        <v>0.61409128816602054</v>
      </c>
      <c r="N960" s="67">
        <f t="shared" si="458"/>
        <v>0.58599997701379014</v>
      </c>
      <c r="O960" s="67">
        <f t="shared" si="458"/>
        <v>0.53822425118819905</v>
      </c>
      <c r="P960" s="67">
        <f t="shared" si="458"/>
        <v>0.50932504032522652</v>
      </c>
    </row>
    <row r="961" spans="2:16" ht="13" hidden="1" outlineLevel="1" x14ac:dyDescent="0.3">
      <c r="B961" s="14"/>
      <c r="C961" s="13" t="s">
        <v>434</v>
      </c>
      <c r="D961" s="12" t="s">
        <v>41</v>
      </c>
      <c r="E961" s="12" t="s">
        <v>56</v>
      </c>
      <c r="F961" s="69">
        <v>3113.5869509986537</v>
      </c>
      <c r="G961" s="14"/>
      <c r="H961" s="67">
        <f t="shared" ref="H961:P961" si="459">+IFERROR(AVERAGEIF(G792:H792,no_cero),0)</f>
        <v>0</v>
      </c>
      <c r="I961" s="67">
        <f t="shared" si="459"/>
        <v>0</v>
      </c>
      <c r="J961" s="67">
        <f t="shared" si="459"/>
        <v>0</v>
      </c>
      <c r="K961" s="67">
        <f t="shared" si="459"/>
        <v>0</v>
      </c>
      <c r="L961" s="67">
        <f t="shared" si="459"/>
        <v>0</v>
      </c>
      <c r="M961" s="67">
        <f t="shared" si="459"/>
        <v>9.417866496286468</v>
      </c>
      <c r="N961" s="67">
        <f t="shared" si="459"/>
        <v>8.9870507149268981</v>
      </c>
      <c r="O961" s="67">
        <f t="shared" si="459"/>
        <v>8.2543495412425081</v>
      </c>
      <c r="P961" s="67">
        <f t="shared" si="459"/>
        <v>7.8111435961323945</v>
      </c>
    </row>
    <row r="962" spans="2:16" ht="13" hidden="1" outlineLevel="1" x14ac:dyDescent="0.3">
      <c r="B962" s="14"/>
      <c r="C962" s="13" t="s">
        <v>435</v>
      </c>
      <c r="D962" s="12" t="s">
        <v>41</v>
      </c>
      <c r="E962" s="12" t="s">
        <v>56</v>
      </c>
      <c r="F962" s="69">
        <v>979.83645149012523</v>
      </c>
      <c r="G962" s="14"/>
      <c r="H962" s="67">
        <f t="shared" ref="H962:P962" si="460">+IFERROR(AVERAGEIF(G793:H793,no_cero),0)</f>
        <v>0</v>
      </c>
      <c r="I962" s="67">
        <f t="shared" si="460"/>
        <v>0</v>
      </c>
      <c r="J962" s="67">
        <f t="shared" si="460"/>
        <v>0</v>
      </c>
      <c r="K962" s="67">
        <f t="shared" si="460"/>
        <v>0</v>
      </c>
      <c r="L962" s="67">
        <f t="shared" si="460"/>
        <v>0</v>
      </c>
      <c r="M962" s="67">
        <f t="shared" si="460"/>
        <v>2.9637742685712651</v>
      </c>
      <c r="N962" s="67">
        <f t="shared" si="460"/>
        <v>2.8281978375620356</v>
      </c>
      <c r="O962" s="67">
        <f t="shared" si="460"/>
        <v>2.5976189813026034</v>
      </c>
      <c r="P962" s="67">
        <f t="shared" si="460"/>
        <v>2.4581434030160452</v>
      </c>
    </row>
    <row r="963" spans="2:16" ht="13" hidden="1" outlineLevel="1" x14ac:dyDescent="0.3">
      <c r="B963" s="14"/>
      <c r="C963" s="13" t="s">
        <v>436</v>
      </c>
      <c r="D963" s="12" t="s">
        <v>41</v>
      </c>
      <c r="E963" s="12" t="s">
        <v>56</v>
      </c>
      <c r="F963" s="69">
        <v>803.22010907540403</v>
      </c>
      <c r="G963" s="14"/>
      <c r="H963" s="67">
        <f t="shared" ref="H963:P963" si="461">+IFERROR(AVERAGEIF(G794:H794,no_cero),0)</f>
        <v>0</v>
      </c>
      <c r="I963" s="67">
        <f t="shared" si="461"/>
        <v>0</v>
      </c>
      <c r="J963" s="67">
        <f t="shared" si="461"/>
        <v>0</v>
      </c>
      <c r="K963" s="67">
        <f t="shared" si="461"/>
        <v>0</v>
      </c>
      <c r="L963" s="67">
        <f t="shared" si="461"/>
        <v>0</v>
      </c>
      <c r="M963" s="67">
        <f t="shared" si="461"/>
        <v>2.4295514702033709</v>
      </c>
      <c r="N963" s="67">
        <f t="shared" si="461"/>
        <v>2.3184128046253791</v>
      </c>
      <c r="O963" s="67">
        <f t="shared" si="461"/>
        <v>2.129395980650802</v>
      </c>
      <c r="P963" s="67">
        <f t="shared" si="461"/>
        <v>2.0150609923634084</v>
      </c>
    </row>
    <row r="964" spans="2:16" ht="13" hidden="1" outlineLevel="1" x14ac:dyDescent="0.3">
      <c r="B964" s="14"/>
      <c r="C964" s="13" t="s">
        <v>437</v>
      </c>
      <c r="D964" s="12" t="s">
        <v>41</v>
      </c>
      <c r="E964" s="12" t="s">
        <v>56</v>
      </c>
      <c r="F964" s="69">
        <v>478.9812665686714</v>
      </c>
      <c r="G964" s="14"/>
      <c r="H964" s="67">
        <f t="shared" ref="H964:P964" si="462">+IFERROR(AVERAGEIF(G795:H795,no_cero),0)</f>
        <v>0</v>
      </c>
      <c r="I964" s="67">
        <f t="shared" si="462"/>
        <v>0</v>
      </c>
      <c r="J964" s="67">
        <f t="shared" si="462"/>
        <v>0</v>
      </c>
      <c r="K964" s="67">
        <f t="shared" si="462"/>
        <v>0</v>
      </c>
      <c r="L964" s="67">
        <f t="shared" si="462"/>
        <v>0</v>
      </c>
      <c r="M964" s="67">
        <f t="shared" si="462"/>
        <v>1.4488054111734678</v>
      </c>
      <c r="N964" s="67">
        <f t="shared" si="462"/>
        <v>1.3825305032101001</v>
      </c>
      <c r="O964" s="67">
        <f t="shared" si="462"/>
        <v>1.2698148020875932</v>
      </c>
      <c r="P964" s="67">
        <f t="shared" si="462"/>
        <v>1.2016338428657809</v>
      </c>
    </row>
    <row r="965" spans="2:16" ht="13" hidden="1" outlineLevel="1" x14ac:dyDescent="0.3">
      <c r="B965" s="14"/>
      <c r="C965" s="13" t="s">
        <v>438</v>
      </c>
      <c r="D965" s="12" t="s">
        <v>41</v>
      </c>
      <c r="E965" s="12" t="s">
        <v>56</v>
      </c>
      <c r="F965" s="69">
        <v>4966.8622876997315</v>
      </c>
      <c r="G965" s="14"/>
      <c r="H965" s="67">
        <f t="shared" ref="H965:P965" si="463">+IFERROR(AVERAGEIF(G796:H796,no_cero),0)</f>
        <v>0</v>
      </c>
      <c r="I965" s="67">
        <f t="shared" si="463"/>
        <v>0</v>
      </c>
      <c r="J965" s="67">
        <f t="shared" si="463"/>
        <v>0</v>
      </c>
      <c r="K965" s="67">
        <f t="shared" si="463"/>
        <v>0</v>
      </c>
      <c r="L965" s="67">
        <f t="shared" si="463"/>
        <v>0</v>
      </c>
      <c r="M965" s="67">
        <f t="shared" si="463"/>
        <v>15.023587478741423</v>
      </c>
      <c r="N965" s="67">
        <f t="shared" si="463"/>
        <v>14.336340682343327</v>
      </c>
      <c r="O965" s="67">
        <f t="shared" si="463"/>
        <v>13.167519677823417</v>
      </c>
      <c r="P965" s="67">
        <f t="shared" si="463"/>
        <v>12.46050782008626</v>
      </c>
    </row>
    <row r="966" spans="2:16" ht="13" hidden="1" outlineLevel="1" x14ac:dyDescent="0.3">
      <c r="B966" s="14"/>
      <c r="C966" s="13" t="s">
        <v>439</v>
      </c>
      <c r="D966" s="12" t="s">
        <v>41</v>
      </c>
      <c r="E966" s="12" t="s">
        <v>56</v>
      </c>
      <c r="F966" s="69">
        <v>39.419771095152605</v>
      </c>
      <c r="G966" s="14"/>
      <c r="H966" s="67">
        <f t="shared" ref="H966:P966" si="464">+IFERROR(AVERAGEIF(G797:H797,no_cero),0)</f>
        <v>0</v>
      </c>
      <c r="I966" s="67">
        <f t="shared" si="464"/>
        <v>0</v>
      </c>
      <c r="J966" s="67">
        <f t="shared" si="464"/>
        <v>0</v>
      </c>
      <c r="K966" s="67">
        <f t="shared" si="464"/>
        <v>0</v>
      </c>
      <c r="L966" s="67">
        <f t="shared" si="464"/>
        <v>0</v>
      </c>
      <c r="M966" s="67">
        <f t="shared" si="464"/>
        <v>0.11923551432191237</v>
      </c>
      <c r="N966" s="67">
        <f t="shared" si="464"/>
        <v>0.11378114296416804</v>
      </c>
      <c r="O966" s="67">
        <f t="shared" si="464"/>
        <v>0.10450473186586086</v>
      </c>
      <c r="P966" s="67">
        <f t="shared" si="464"/>
        <v>9.8893494030139695E-2</v>
      </c>
    </row>
    <row r="967" spans="2:16" ht="13" hidden="1" outlineLevel="1" x14ac:dyDescent="0.3">
      <c r="B967" s="14"/>
      <c r="C967" s="13" t="s">
        <v>440</v>
      </c>
      <c r="D967" s="12" t="s">
        <v>41</v>
      </c>
      <c r="E967" s="12" t="s">
        <v>56</v>
      </c>
      <c r="F967" s="69">
        <v>229.04137176166967</v>
      </c>
      <c r="G967" s="14"/>
      <c r="H967" s="67">
        <f t="shared" ref="H967:P967" si="465">+IFERROR(AVERAGEIF(G798:H798,no_cero),0)</f>
        <v>0</v>
      </c>
      <c r="I967" s="67">
        <f t="shared" si="465"/>
        <v>0</v>
      </c>
      <c r="J967" s="67">
        <f t="shared" si="465"/>
        <v>0</v>
      </c>
      <c r="K967" s="67">
        <f t="shared" si="465"/>
        <v>0</v>
      </c>
      <c r="L967" s="67">
        <f t="shared" si="465"/>
        <v>0</v>
      </c>
      <c r="M967" s="67">
        <f t="shared" si="465"/>
        <v>0.69279615290199581</v>
      </c>
      <c r="N967" s="67">
        <f t="shared" si="465"/>
        <v>0.66110452549858501</v>
      </c>
      <c r="O967" s="67">
        <f t="shared" si="465"/>
        <v>0.60720563506990044</v>
      </c>
      <c r="P967" s="67">
        <f t="shared" si="465"/>
        <v>0.57460256368036111</v>
      </c>
    </row>
    <row r="968" spans="2:16" ht="13" hidden="1" outlineLevel="1" x14ac:dyDescent="0.3">
      <c r="B968" s="14"/>
      <c r="C968" s="13" t="s">
        <v>441</v>
      </c>
      <c r="D968" s="12" t="s">
        <v>41</v>
      </c>
      <c r="E968" s="12" t="s">
        <v>56</v>
      </c>
      <c r="F968" s="69">
        <v>1498.5811169299818</v>
      </c>
      <c r="G968" s="14"/>
      <c r="H968" s="67">
        <f t="shared" ref="H968:P968" si="466">+IFERROR(AVERAGEIF(G799:H799,no_cero),0)</f>
        <v>0</v>
      </c>
      <c r="I968" s="67">
        <f t="shared" si="466"/>
        <v>0</v>
      </c>
      <c r="J968" s="67">
        <f t="shared" si="466"/>
        <v>0</v>
      </c>
      <c r="K968" s="67">
        <f t="shared" si="466"/>
        <v>0</v>
      </c>
      <c r="L968" s="67">
        <f t="shared" si="466"/>
        <v>0</v>
      </c>
      <c r="M968" s="67">
        <f t="shared" si="466"/>
        <v>4.5328545870786359</v>
      </c>
      <c r="N968" s="67">
        <f t="shared" si="466"/>
        <v>4.3255013302139727</v>
      </c>
      <c r="O968" s="67">
        <f t="shared" si="466"/>
        <v>3.9728494979329803</v>
      </c>
      <c r="P968" s="67">
        <f t="shared" si="466"/>
        <v>3.759532808627069</v>
      </c>
    </row>
    <row r="969" spans="2:16" ht="13" hidden="1" outlineLevel="1" x14ac:dyDescent="0.3">
      <c r="B969" s="14"/>
      <c r="C969" s="13" t="s">
        <v>442</v>
      </c>
      <c r="D969" s="12" t="s">
        <v>41</v>
      </c>
      <c r="E969" s="12" t="s">
        <v>56</v>
      </c>
      <c r="F969" s="69">
        <v>11660.424040765261</v>
      </c>
      <c r="G969" s="14"/>
      <c r="H969" s="67">
        <f t="shared" ref="H969:P969" si="467">+IFERROR(AVERAGEIF(G800:H800,no_cero),0)</f>
        <v>0</v>
      </c>
      <c r="I969" s="67">
        <f t="shared" si="467"/>
        <v>0</v>
      </c>
      <c r="J969" s="67">
        <f t="shared" si="467"/>
        <v>0</v>
      </c>
      <c r="K969" s="67">
        <f t="shared" si="467"/>
        <v>0</v>
      </c>
      <c r="L969" s="67">
        <f t="shared" si="467"/>
        <v>0</v>
      </c>
      <c r="M969" s="67">
        <f t="shared" si="467"/>
        <v>35.27003376950622</v>
      </c>
      <c r="N969" s="67">
        <f t="shared" si="467"/>
        <v>33.656623007845951</v>
      </c>
      <c r="O969" s="67">
        <f t="shared" si="467"/>
        <v>30.912647485470998</v>
      </c>
      <c r="P969" s="67">
        <f t="shared" si="467"/>
        <v>29.252835397771165</v>
      </c>
    </row>
    <row r="970" spans="2:16" ht="13" hidden="1" outlineLevel="1" x14ac:dyDescent="0.3">
      <c r="B970" s="14"/>
      <c r="C970" s="13" t="s">
        <v>443</v>
      </c>
      <c r="D970" s="12" t="s">
        <v>41</v>
      </c>
      <c r="E970" s="12" t="s">
        <v>56</v>
      </c>
      <c r="F970" s="69">
        <v>118.72283335500281</v>
      </c>
      <c r="G970" s="14"/>
      <c r="H970" s="67">
        <f t="shared" ref="H970:P970" si="468">+IFERROR(AVERAGEIF(G801:H801,no_cero),0)</f>
        <v>0</v>
      </c>
      <c r="I970" s="67">
        <f t="shared" si="468"/>
        <v>0</v>
      </c>
      <c r="J970" s="67">
        <f t="shared" si="468"/>
        <v>0</v>
      </c>
      <c r="K970" s="67">
        <f t="shared" si="468"/>
        <v>0</v>
      </c>
      <c r="L970" s="67">
        <f t="shared" si="468"/>
        <v>0</v>
      </c>
      <c r="M970" s="67">
        <f t="shared" si="468"/>
        <v>0</v>
      </c>
      <c r="N970" s="67">
        <f t="shared" si="468"/>
        <v>0.44472259015818427</v>
      </c>
      <c r="O970" s="67">
        <f t="shared" si="468"/>
        <v>0.42902500689748152</v>
      </c>
      <c r="P970" s="67">
        <f t="shared" si="468"/>
        <v>0.4059753019709802</v>
      </c>
    </row>
    <row r="971" spans="2:16" ht="13" hidden="1" outlineLevel="1" x14ac:dyDescent="0.3">
      <c r="B971" s="14"/>
      <c r="C971" s="13" t="s">
        <v>444</v>
      </c>
      <c r="D971" s="12" t="s">
        <v>41</v>
      </c>
      <c r="E971" s="12" t="s">
        <v>56</v>
      </c>
      <c r="F971" s="69">
        <v>955.09648463276835</v>
      </c>
      <c r="G971" s="14"/>
      <c r="H971" s="67">
        <f t="shared" ref="H971:P971" si="469">+IFERROR(AVERAGEIF(G802:H802,no_cero),0)</f>
        <v>0</v>
      </c>
      <c r="I971" s="67">
        <f t="shared" si="469"/>
        <v>0</v>
      </c>
      <c r="J971" s="67">
        <f t="shared" si="469"/>
        <v>0</v>
      </c>
      <c r="K971" s="67">
        <f t="shared" si="469"/>
        <v>0</v>
      </c>
      <c r="L971" s="67">
        <f t="shared" si="469"/>
        <v>0</v>
      </c>
      <c r="M971" s="67">
        <f t="shared" si="469"/>
        <v>0</v>
      </c>
      <c r="N971" s="67">
        <f t="shared" si="469"/>
        <v>3.5775922470256298</v>
      </c>
      <c r="O971" s="67">
        <f t="shared" si="469"/>
        <v>3.4513557094072134</v>
      </c>
      <c r="P971" s="67">
        <f t="shared" si="469"/>
        <v>3.2660189254058682</v>
      </c>
    </row>
    <row r="972" spans="2:16" ht="13" hidden="1" outlineLevel="1" x14ac:dyDescent="0.3">
      <c r="B972" s="14"/>
      <c r="C972" s="13" t="s">
        <v>445</v>
      </c>
      <c r="D972" s="12" t="s">
        <v>41</v>
      </c>
      <c r="E972" s="12" t="s">
        <v>56</v>
      </c>
      <c r="F972" s="69">
        <v>464.63238286830847</v>
      </c>
      <c r="G972" s="14"/>
      <c r="H972" s="67">
        <f t="shared" ref="H972:P972" si="470">+IFERROR(AVERAGEIF(G803:H803,no_cero),0)</f>
        <v>0</v>
      </c>
      <c r="I972" s="67">
        <f t="shared" si="470"/>
        <v>0</v>
      </c>
      <c r="J972" s="67">
        <f t="shared" si="470"/>
        <v>0</v>
      </c>
      <c r="K972" s="67">
        <f t="shared" si="470"/>
        <v>0</v>
      </c>
      <c r="L972" s="67">
        <f t="shared" si="470"/>
        <v>0</v>
      </c>
      <c r="M972" s="67">
        <f t="shared" si="470"/>
        <v>0</v>
      </c>
      <c r="N972" s="67">
        <f t="shared" si="470"/>
        <v>0</v>
      </c>
      <c r="O972" s="67">
        <f t="shared" si="470"/>
        <v>2.4816533382158998</v>
      </c>
      <c r="P972" s="67">
        <f t="shared" si="470"/>
        <v>2.4376441943713525</v>
      </c>
    </row>
    <row r="973" spans="2:16" ht="13" hidden="1" outlineLevel="1" x14ac:dyDescent="0.3">
      <c r="B973" s="14"/>
      <c r="C973" s="13" t="s">
        <v>446</v>
      </c>
      <c r="D973" s="12" t="s">
        <v>41</v>
      </c>
      <c r="E973" s="12" t="s">
        <v>56</v>
      </c>
      <c r="F973" s="69">
        <v>70.217035375706232</v>
      </c>
      <c r="G973" s="14"/>
      <c r="H973" s="67">
        <f t="shared" ref="H973:P973" si="471">+IFERROR(AVERAGEIF(G804:H804,no_cero),0)</f>
        <v>0</v>
      </c>
      <c r="I973" s="67">
        <f t="shared" si="471"/>
        <v>0</v>
      </c>
      <c r="J973" s="67">
        <f t="shared" si="471"/>
        <v>0</v>
      </c>
      <c r="K973" s="67">
        <f t="shared" si="471"/>
        <v>0</v>
      </c>
      <c r="L973" s="67">
        <f t="shared" si="471"/>
        <v>0</v>
      </c>
      <c r="M973" s="67">
        <f t="shared" si="471"/>
        <v>0</v>
      </c>
      <c r="N973" s="67">
        <f t="shared" si="471"/>
        <v>0.26301837082547708</v>
      </c>
      <c r="O973" s="67">
        <f t="shared" si="471"/>
        <v>0.2537376797431859</v>
      </c>
      <c r="P973" s="67">
        <f t="shared" si="471"/>
        <v>0.2401120411527079</v>
      </c>
    </row>
    <row r="974" spans="2:16" ht="13" hidden="1" outlineLevel="1" x14ac:dyDescent="0.3">
      <c r="B974" s="14"/>
      <c r="C974" s="13" t="s">
        <v>447</v>
      </c>
      <c r="D974" s="12" t="s">
        <v>41</v>
      </c>
      <c r="E974" s="12" t="s">
        <v>56</v>
      </c>
      <c r="F974" s="69">
        <v>2432.1708737090394</v>
      </c>
      <c r="G974" s="14"/>
      <c r="H974" s="67">
        <f t="shared" ref="H974:P974" si="472">+IFERROR(AVERAGEIF(G805:H805,no_cero),0)</f>
        <v>0</v>
      </c>
      <c r="I974" s="67">
        <f t="shared" si="472"/>
        <v>0</v>
      </c>
      <c r="J974" s="67">
        <f t="shared" si="472"/>
        <v>0</v>
      </c>
      <c r="K974" s="67">
        <f t="shared" si="472"/>
        <v>0</v>
      </c>
      <c r="L974" s="67">
        <f t="shared" si="472"/>
        <v>0</v>
      </c>
      <c r="M974" s="67">
        <f t="shared" si="472"/>
        <v>0</v>
      </c>
      <c r="N974" s="67">
        <f t="shared" si="472"/>
        <v>9.1104048661310291</v>
      </c>
      <c r="O974" s="67">
        <f t="shared" si="472"/>
        <v>8.7889411868762153</v>
      </c>
      <c r="P974" s="67">
        <f t="shared" si="472"/>
        <v>8.3169776364624646</v>
      </c>
    </row>
    <row r="975" spans="2:16" ht="13" hidden="1" outlineLevel="1" x14ac:dyDescent="0.3">
      <c r="B975" s="14"/>
      <c r="C975" s="13" t="s">
        <v>448</v>
      </c>
      <c r="D975" s="12" t="s">
        <v>41</v>
      </c>
      <c r="E975" s="12" t="s">
        <v>56</v>
      </c>
      <c r="F975" s="69">
        <v>144.36466998587571</v>
      </c>
      <c r="G975" s="14"/>
      <c r="H975" s="67">
        <f t="shared" ref="H975:P975" si="473">+IFERROR(AVERAGEIF(G806:H806,no_cero),0)</f>
        <v>0</v>
      </c>
      <c r="I975" s="67">
        <f t="shared" si="473"/>
        <v>0</v>
      </c>
      <c r="J975" s="67">
        <f t="shared" si="473"/>
        <v>0</v>
      </c>
      <c r="K975" s="67">
        <f t="shared" si="473"/>
        <v>0</v>
      </c>
      <c r="L975" s="67">
        <f t="shared" si="473"/>
        <v>0</v>
      </c>
      <c r="M975" s="67">
        <f t="shared" si="473"/>
        <v>0</v>
      </c>
      <c r="N975" s="67">
        <f t="shared" si="473"/>
        <v>0.54075994666074678</v>
      </c>
      <c r="O975" s="67">
        <f t="shared" si="473"/>
        <v>0.52167905128874748</v>
      </c>
      <c r="P975" s="67">
        <f t="shared" si="473"/>
        <v>0.49366504004580436</v>
      </c>
    </row>
    <row r="976" spans="2:16" ht="13" hidden="1" outlineLevel="1" x14ac:dyDescent="0.3">
      <c r="B976" s="14"/>
      <c r="C976" s="13" t="s">
        <v>449</v>
      </c>
      <c r="D976" s="12" t="s">
        <v>41</v>
      </c>
      <c r="E976" s="12" t="s">
        <v>56</v>
      </c>
      <c r="F976" s="69">
        <v>1162.0825219632768</v>
      </c>
      <c r="G976" s="14"/>
      <c r="H976" s="67">
        <f t="shared" ref="H976:P976" si="474">+IFERROR(AVERAGEIF(G807:H807,no_cero),0)</f>
        <v>0</v>
      </c>
      <c r="I976" s="67">
        <f t="shared" si="474"/>
        <v>0</v>
      </c>
      <c r="J976" s="67">
        <f t="shared" si="474"/>
        <v>0</v>
      </c>
      <c r="K976" s="67">
        <f t="shared" si="474"/>
        <v>0</v>
      </c>
      <c r="L976" s="67">
        <f t="shared" si="474"/>
        <v>0</v>
      </c>
      <c r="M976" s="67">
        <f t="shared" si="474"/>
        <v>0</v>
      </c>
      <c r="N976" s="67">
        <f t="shared" si="474"/>
        <v>4.3529187761363612</v>
      </c>
      <c r="O976" s="67">
        <f t="shared" si="474"/>
        <v>4.1993245829214985</v>
      </c>
      <c r="P976" s="67">
        <f t="shared" si="474"/>
        <v>3.9738220909427349</v>
      </c>
    </row>
    <row r="977" spans="2:16" ht="13" hidden="1" outlineLevel="1" x14ac:dyDescent="0.3">
      <c r="B977" s="14"/>
      <c r="C977" s="13" t="s">
        <v>450</v>
      </c>
      <c r="D977" s="12" t="s">
        <v>41</v>
      </c>
      <c r="E977" s="12" t="s">
        <v>56</v>
      </c>
      <c r="F977" s="69">
        <v>810.90804920903952</v>
      </c>
      <c r="G977" s="14"/>
      <c r="H977" s="67">
        <f t="shared" ref="H977:P977" si="475">+IFERROR(AVERAGEIF(G808:H808,no_cero),0)</f>
        <v>0</v>
      </c>
      <c r="I977" s="67">
        <f t="shared" si="475"/>
        <v>0</v>
      </c>
      <c r="J977" s="67">
        <f t="shared" si="475"/>
        <v>0</v>
      </c>
      <c r="K977" s="67">
        <f t="shared" si="475"/>
        <v>0</v>
      </c>
      <c r="L977" s="67">
        <f t="shared" si="475"/>
        <v>0</v>
      </c>
      <c r="M977" s="67">
        <f t="shared" si="475"/>
        <v>0</v>
      </c>
      <c r="N977" s="67">
        <f t="shared" si="475"/>
        <v>3.0374924382811455</v>
      </c>
      <c r="O977" s="67">
        <f t="shared" si="475"/>
        <v>2.9303135028478184</v>
      </c>
      <c r="P977" s="67">
        <f t="shared" si="475"/>
        <v>2.7729565317152165</v>
      </c>
    </row>
    <row r="978" spans="2:16" ht="13" hidden="1" outlineLevel="1" x14ac:dyDescent="0.3">
      <c r="B978" s="14"/>
      <c r="C978" s="13" t="s">
        <v>370</v>
      </c>
      <c r="D978" s="12" t="s">
        <v>41</v>
      </c>
      <c r="E978" s="12" t="s">
        <v>56</v>
      </c>
      <c r="F978" s="69">
        <v>2155.3478897156724</v>
      </c>
      <c r="G978" s="14"/>
      <c r="H978" s="67">
        <f t="shared" ref="H978:P978" si="476">+IFERROR(AVERAGEIF(G809:H809,no_cero),0)</f>
        <v>0</v>
      </c>
      <c r="I978" s="67">
        <f t="shared" si="476"/>
        <v>0</v>
      </c>
      <c r="J978" s="67">
        <f t="shared" si="476"/>
        <v>0</v>
      </c>
      <c r="K978" s="67">
        <f t="shared" si="476"/>
        <v>0</v>
      </c>
      <c r="L978" s="67">
        <f t="shared" si="476"/>
        <v>0</v>
      </c>
      <c r="M978" s="67">
        <f t="shared" si="476"/>
        <v>0</v>
      </c>
      <c r="N978" s="67">
        <f t="shared" si="476"/>
        <v>8.0728560998729328</v>
      </c>
      <c r="O978" s="67">
        <f t="shared" si="476"/>
        <v>7.7882943300870622</v>
      </c>
      <c r="P978" s="67">
        <f t="shared" si="476"/>
        <v>7.370669728802107</v>
      </c>
    </row>
    <row r="979" spans="2:16" ht="13" hidden="1" outlineLevel="1" x14ac:dyDescent="0.3">
      <c r="B979" s="14"/>
      <c r="C979" s="13" t="s">
        <v>464</v>
      </c>
      <c r="D979" s="12" t="s">
        <v>41</v>
      </c>
      <c r="E979" s="12" t="s">
        <v>56</v>
      </c>
      <c r="F979" s="69">
        <v>518.15293078571426</v>
      </c>
      <c r="G979" s="14"/>
      <c r="H979" s="67">
        <f t="shared" ref="H979:P979" si="477">+IFERROR(AVERAGEIF(G810:H810,no_cero),0)</f>
        <v>0</v>
      </c>
      <c r="I979" s="67">
        <f t="shared" si="477"/>
        <v>0</v>
      </c>
      <c r="J979" s="67">
        <f t="shared" si="477"/>
        <v>0</v>
      </c>
      <c r="K979" s="67">
        <f t="shared" si="477"/>
        <v>0</v>
      </c>
      <c r="L979" s="67">
        <f t="shared" si="477"/>
        <v>0</v>
      </c>
      <c r="M979" s="67">
        <f t="shared" si="477"/>
        <v>1.9450221180662404</v>
      </c>
      <c r="N979" s="67">
        <f t="shared" si="477"/>
        <v>1.7413012292596579</v>
      </c>
      <c r="O979" s="67">
        <f t="shared" si="477"/>
        <v>1.3671656683066962</v>
      </c>
      <c r="P979" s="67">
        <f t="shared" si="477"/>
        <v>1.0694403216478359</v>
      </c>
    </row>
    <row r="980" spans="2:16" ht="13" hidden="1" outlineLevel="1" x14ac:dyDescent="0.3">
      <c r="B980" s="14"/>
      <c r="C980" s="13" t="s">
        <v>465</v>
      </c>
      <c r="D980" s="12" t="s">
        <v>41</v>
      </c>
      <c r="E980" s="12" t="s">
        <v>56</v>
      </c>
      <c r="F980" s="69">
        <v>658.52073514285507</v>
      </c>
      <c r="G980" s="14"/>
      <c r="H980" s="67">
        <f t="shared" ref="H980:P980" si="478">+IFERROR(AVERAGEIF(G811:H811,no_cero),0)</f>
        <v>0</v>
      </c>
      <c r="I980" s="67">
        <f t="shared" si="478"/>
        <v>0</v>
      </c>
      <c r="J980" s="67">
        <f t="shared" si="478"/>
        <v>0</v>
      </c>
      <c r="K980" s="67">
        <f t="shared" si="478"/>
        <v>0</v>
      </c>
      <c r="L980" s="67">
        <f t="shared" si="478"/>
        <v>0</v>
      </c>
      <c r="M980" s="67">
        <f t="shared" si="478"/>
        <v>2.2982127562743493</v>
      </c>
      <c r="N980" s="67">
        <f t="shared" si="478"/>
        <v>2.102291107431757</v>
      </c>
      <c r="O980" s="67">
        <f t="shared" si="478"/>
        <v>1.7471948382262215</v>
      </c>
      <c r="P980" s="67">
        <f t="shared" si="478"/>
        <v>1.4628752761870225</v>
      </c>
    </row>
    <row r="981" spans="2:16" ht="13" collapsed="1" x14ac:dyDescent="0.3">
      <c r="B981" s="14"/>
      <c r="C981" s="13"/>
      <c r="D981" s="13"/>
      <c r="E981" s="12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2:16" ht="13" x14ac:dyDescent="0.3">
      <c r="B982" s="14" t="s">
        <v>374</v>
      </c>
      <c r="C982" s="13"/>
      <c r="D982" s="13"/>
      <c r="E982" s="12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2:16" ht="13" hidden="1" outlineLevel="1" x14ac:dyDescent="0.3">
      <c r="B983" s="14"/>
      <c r="C983" s="13" t="s">
        <v>375</v>
      </c>
      <c r="D983" s="12" t="s">
        <v>41</v>
      </c>
      <c r="E983" s="12" t="s">
        <v>56</v>
      </c>
      <c r="F983" s="69">
        <v>110833.04787733335</v>
      </c>
      <c r="G983" s="14"/>
      <c r="H983" s="67">
        <f t="shared" ref="H983:P983" si="479">+IFERROR(AVERAGEIF(G814:H814,no_cero),0)</f>
        <v>0</v>
      </c>
      <c r="I983" s="67">
        <f t="shared" si="479"/>
        <v>0</v>
      </c>
      <c r="J983" s="67">
        <f t="shared" si="479"/>
        <v>98.671160030801843</v>
      </c>
      <c r="K983" s="67">
        <f t="shared" si="479"/>
        <v>149.14939995240721</v>
      </c>
      <c r="L983" s="67">
        <f t="shared" si="479"/>
        <v>195.66764898267252</v>
      </c>
      <c r="M983" s="67">
        <f t="shared" si="479"/>
        <v>185.46199946062467</v>
      </c>
      <c r="N983" s="67">
        <f t="shared" si="479"/>
        <v>170.84056666741697</v>
      </c>
      <c r="O983" s="67">
        <f t="shared" si="479"/>
        <v>155.23844237026611</v>
      </c>
      <c r="P983" s="67">
        <f t="shared" si="479"/>
        <v>140.54410834664429</v>
      </c>
    </row>
    <row r="984" spans="2:16" ht="13" hidden="1" outlineLevel="1" x14ac:dyDescent="0.3">
      <c r="B984" s="14"/>
      <c r="C984" s="13" t="s">
        <v>376</v>
      </c>
      <c r="D984" s="12" t="s">
        <v>41</v>
      </c>
      <c r="E984" s="12" t="s">
        <v>56</v>
      </c>
      <c r="F984" s="69">
        <v>2086.1566809999999</v>
      </c>
      <c r="G984" s="14"/>
      <c r="H984" s="67">
        <f t="shared" ref="H984:P984" si="480">+IFERROR(AVERAGEIF(G815:H815,no_cero),0)</f>
        <v>0</v>
      </c>
      <c r="I984" s="67">
        <f t="shared" si="480"/>
        <v>0</v>
      </c>
      <c r="J984" s="67">
        <f t="shared" si="480"/>
        <v>4.3022116085914099</v>
      </c>
      <c r="K984" s="67">
        <f t="shared" si="480"/>
        <v>4.0777120356583207</v>
      </c>
      <c r="L984" s="67">
        <f t="shared" si="480"/>
        <v>3.6757603662281495</v>
      </c>
      <c r="M984" s="67">
        <f t="shared" si="480"/>
        <v>3.2740756462288534</v>
      </c>
      <c r="N984" s="67">
        <f t="shared" si="480"/>
        <v>2.789068190234465</v>
      </c>
      <c r="O984" s="67">
        <f t="shared" si="480"/>
        <v>2.2864277113915872</v>
      </c>
      <c r="P984" s="67">
        <f t="shared" si="480"/>
        <v>1.7990056893705433</v>
      </c>
    </row>
    <row r="985" spans="2:16" ht="13" hidden="1" outlineLevel="1" x14ac:dyDescent="0.3">
      <c r="B985" s="14"/>
      <c r="C985" s="13" t="s">
        <v>377</v>
      </c>
      <c r="D985" s="12" t="s">
        <v>41</v>
      </c>
      <c r="E985" s="12" t="s">
        <v>56</v>
      </c>
      <c r="F985" s="69">
        <v>12751.887273416665</v>
      </c>
      <c r="G985" s="14"/>
      <c r="H985" s="67">
        <f t="shared" ref="H985:P985" si="481">+IFERROR(AVERAGEIF(G816:H816,no_cero),0)</f>
        <v>0</v>
      </c>
      <c r="I985" s="67">
        <f t="shared" si="481"/>
        <v>0</v>
      </c>
      <c r="J985" s="67">
        <f t="shared" si="481"/>
        <v>26.056077651432322</v>
      </c>
      <c r="K985" s="67">
        <f t="shared" si="481"/>
        <v>24.723655154897145</v>
      </c>
      <c r="L985" s="67">
        <f t="shared" si="481"/>
        <v>22.345634390957745</v>
      </c>
      <c r="M985" s="67">
        <f t="shared" si="481"/>
        <v>19.971286876730751</v>
      </c>
      <c r="N985" s="67">
        <f t="shared" si="481"/>
        <v>17.090523625437424</v>
      </c>
      <c r="O985" s="67">
        <f t="shared" si="481"/>
        <v>14.102311704772475</v>
      </c>
      <c r="P985" s="67">
        <f t="shared" si="481"/>
        <v>11.207206169119516</v>
      </c>
    </row>
    <row r="986" spans="2:16" ht="13" hidden="1" outlineLevel="1" x14ac:dyDescent="0.3">
      <c r="B986" s="14"/>
      <c r="C986" s="13" t="s">
        <v>378</v>
      </c>
      <c r="D986" s="12" t="s">
        <v>41</v>
      </c>
      <c r="E986" s="12" t="s">
        <v>56</v>
      </c>
      <c r="F986" s="69">
        <v>1393.2462171428572</v>
      </c>
      <c r="G986" s="14"/>
      <c r="H986" s="67">
        <f t="shared" ref="H986:P986" si="482">+IFERROR(AVERAGEIF(G817:H817,no_cero),0)</f>
        <v>0</v>
      </c>
      <c r="I986" s="67">
        <f t="shared" si="482"/>
        <v>0</v>
      </c>
      <c r="J986" s="67">
        <f t="shared" si="482"/>
        <v>0</v>
      </c>
      <c r="K986" s="67">
        <f t="shared" si="482"/>
        <v>3.683915880006313</v>
      </c>
      <c r="L986" s="67">
        <f t="shared" si="482"/>
        <v>3.4544284728390275</v>
      </c>
      <c r="M986" s="67">
        <f t="shared" si="482"/>
        <v>2.9491514637443679</v>
      </c>
      <c r="N986" s="67">
        <f t="shared" si="482"/>
        <v>2.3653443370442453</v>
      </c>
      <c r="O986" s="67">
        <f t="shared" si="482"/>
        <v>1.765446708309061</v>
      </c>
      <c r="P986" s="67">
        <f t="shared" si="482"/>
        <v>1.1787344049278563</v>
      </c>
    </row>
    <row r="987" spans="2:16" ht="13" hidden="1" outlineLevel="1" x14ac:dyDescent="0.3">
      <c r="B987" s="14"/>
      <c r="C987" s="13" t="s">
        <v>379</v>
      </c>
      <c r="D987" s="12" t="s">
        <v>41</v>
      </c>
      <c r="E987" s="12" t="s">
        <v>56</v>
      </c>
      <c r="F987" s="69">
        <v>106.97032500000003</v>
      </c>
      <c r="G987" s="14"/>
      <c r="H987" s="67">
        <f t="shared" ref="H987:P987" si="483">+IFERROR(AVERAGEIF(G818:H818,no_cero),0)</f>
        <v>0</v>
      </c>
      <c r="I987" s="67">
        <f t="shared" si="483"/>
        <v>0</v>
      </c>
      <c r="J987" s="67">
        <f t="shared" si="483"/>
        <v>0</v>
      </c>
      <c r="K987" s="67">
        <f t="shared" si="483"/>
        <v>0.3607729304317972</v>
      </c>
      <c r="L987" s="67">
        <f t="shared" si="483"/>
        <v>0.3277209305297869</v>
      </c>
      <c r="M987" s="67">
        <f t="shared" si="483"/>
        <v>0.25680365888786594</v>
      </c>
      <c r="N987" s="67">
        <f t="shared" si="483"/>
        <v>0.17839586099897142</v>
      </c>
      <c r="O987" s="67">
        <f t="shared" si="483"/>
        <v>9.8548028890915518E-2</v>
      </c>
      <c r="P987" s="67">
        <f t="shared" si="483"/>
        <v>5.9242722931843433E-2</v>
      </c>
    </row>
    <row r="988" spans="2:16" ht="13" hidden="1" outlineLevel="1" x14ac:dyDescent="0.3">
      <c r="B988" s="14"/>
      <c r="C988" s="13" t="s">
        <v>380</v>
      </c>
      <c r="D988" s="12" t="s">
        <v>41</v>
      </c>
      <c r="E988" s="12" t="s">
        <v>56</v>
      </c>
      <c r="F988" s="69">
        <v>131.44064999999998</v>
      </c>
      <c r="G988" s="14"/>
      <c r="H988" s="67">
        <f t="shared" ref="H988:P988" si="484">+IFERROR(AVERAGEIF(G819:H819,no_cero),0)</f>
        <v>0</v>
      </c>
      <c r="I988" s="67">
        <f t="shared" si="484"/>
        <v>0</v>
      </c>
      <c r="J988" s="67">
        <f t="shared" si="484"/>
        <v>0</v>
      </c>
      <c r="K988" s="67">
        <f t="shared" si="484"/>
        <v>0.44330264938767078</v>
      </c>
      <c r="L988" s="67">
        <f t="shared" si="484"/>
        <v>0.40268973780756506</v>
      </c>
      <c r="M988" s="67">
        <f t="shared" si="484"/>
        <v>0.31554956803767176</v>
      </c>
      <c r="N988" s="67">
        <f t="shared" si="484"/>
        <v>0.21920535369986432</v>
      </c>
      <c r="O988" s="67">
        <f t="shared" si="484"/>
        <v>0.12109168569545528</v>
      </c>
      <c r="P988" s="67">
        <f t="shared" si="484"/>
        <v>7.2794973839066038E-2</v>
      </c>
    </row>
    <row r="989" spans="2:16" ht="13" hidden="1" outlineLevel="1" x14ac:dyDescent="0.3">
      <c r="B989" s="14"/>
      <c r="C989" s="13" t="s">
        <v>381</v>
      </c>
      <c r="D989" s="12" t="s">
        <v>41</v>
      </c>
      <c r="E989" s="12" t="s">
        <v>56</v>
      </c>
      <c r="F989" s="69">
        <v>499.76389928571427</v>
      </c>
      <c r="G989" s="14"/>
      <c r="H989" s="67">
        <f t="shared" ref="H989:P989" si="485">+IFERROR(AVERAGEIF(G820:H820,no_cero),0)</f>
        <v>0</v>
      </c>
      <c r="I989" s="67">
        <f t="shared" si="485"/>
        <v>0</v>
      </c>
      <c r="J989" s="67">
        <f t="shared" si="485"/>
        <v>0</v>
      </c>
      <c r="K989" s="67">
        <f t="shared" si="485"/>
        <v>1.2915409812723262</v>
      </c>
      <c r="L989" s="67">
        <f t="shared" si="485"/>
        <v>1.2148920164511936</v>
      </c>
      <c r="M989" s="67">
        <f t="shared" si="485"/>
        <v>1.0454613789708787</v>
      </c>
      <c r="N989" s="67">
        <f t="shared" si="485"/>
        <v>0.84842692776417783</v>
      </c>
      <c r="O989" s="67">
        <f t="shared" si="485"/>
        <v>0.64570247008929038</v>
      </c>
      <c r="P989" s="67">
        <f t="shared" si="485"/>
        <v>0.44768746060906772</v>
      </c>
    </row>
    <row r="990" spans="2:16" ht="13" hidden="1" outlineLevel="1" x14ac:dyDescent="0.3">
      <c r="B990" s="14"/>
      <c r="C990" s="13" t="s">
        <v>382</v>
      </c>
      <c r="D990" s="12" t="s">
        <v>41</v>
      </c>
      <c r="E990" s="12" t="s">
        <v>56</v>
      </c>
      <c r="F990" s="69">
        <v>313.79203500000006</v>
      </c>
      <c r="G990" s="14"/>
      <c r="H990" s="67">
        <f t="shared" ref="H990:P990" si="486">+IFERROR(AVERAGEIF(G821:H821,no_cero),0)</f>
        <v>0</v>
      </c>
      <c r="I990" s="67">
        <f t="shared" si="486"/>
        <v>0</v>
      </c>
      <c r="J990" s="67">
        <f t="shared" si="486"/>
        <v>0</v>
      </c>
      <c r="K990" s="67">
        <f t="shared" si="486"/>
        <v>0.81093346954147405</v>
      </c>
      <c r="L990" s="67">
        <f t="shared" si="486"/>
        <v>0.76280707488543231</v>
      </c>
      <c r="M990" s="67">
        <f t="shared" si="486"/>
        <v>0.65642487200466682</v>
      </c>
      <c r="N990" s="67">
        <f t="shared" si="486"/>
        <v>0.53271077121101995</v>
      </c>
      <c r="O990" s="67">
        <f t="shared" si="486"/>
        <v>0.40542402599194072</v>
      </c>
      <c r="P990" s="67">
        <f t="shared" si="486"/>
        <v>0.2810942517242308</v>
      </c>
    </row>
    <row r="991" spans="2:16" ht="13" hidden="1" outlineLevel="1" x14ac:dyDescent="0.3">
      <c r="B991" s="14"/>
      <c r="C991" s="13" t="s">
        <v>383</v>
      </c>
      <c r="D991" s="12" t="s">
        <v>41</v>
      </c>
      <c r="E991" s="12" t="s">
        <v>56</v>
      </c>
      <c r="F991" s="69">
        <v>53.310372500000021</v>
      </c>
      <c r="G991" s="14"/>
      <c r="H991" s="67">
        <f t="shared" ref="H991:P991" si="487">+IFERROR(AVERAGEIF(G822:H822,no_cero),0)</f>
        <v>0</v>
      </c>
      <c r="I991" s="67">
        <f t="shared" si="487"/>
        <v>0</v>
      </c>
      <c r="J991" s="67">
        <f t="shared" si="487"/>
        <v>0</v>
      </c>
      <c r="K991" s="67">
        <f t="shared" si="487"/>
        <v>0.17979696059851827</v>
      </c>
      <c r="L991" s="67">
        <f t="shared" si="487"/>
        <v>0.16332496776643018</v>
      </c>
      <c r="M991" s="67">
        <f t="shared" si="487"/>
        <v>0.12798221109148791</v>
      </c>
      <c r="N991" s="67">
        <f t="shared" si="487"/>
        <v>8.8906430847184831E-2</v>
      </c>
      <c r="O991" s="67">
        <f t="shared" si="487"/>
        <v>4.9112986515797416E-2</v>
      </c>
      <c r="P991" s="67">
        <f t="shared" si="487"/>
        <v>1.4762279292929469E-2</v>
      </c>
    </row>
    <row r="992" spans="2:16" ht="13" hidden="1" outlineLevel="1" x14ac:dyDescent="0.3">
      <c r="B992" s="14"/>
      <c r="C992" s="13" t="s">
        <v>384</v>
      </c>
      <c r="D992" s="12" t="s">
        <v>41</v>
      </c>
      <c r="E992" s="12" t="s">
        <v>56</v>
      </c>
      <c r="F992" s="69">
        <v>526.42908999999986</v>
      </c>
      <c r="G992" s="14"/>
      <c r="H992" s="67">
        <f t="shared" ref="H992:P992" si="488">+IFERROR(AVERAGEIF(G823:H823,no_cero),0)</f>
        <v>0</v>
      </c>
      <c r="I992" s="67">
        <f t="shared" si="488"/>
        <v>0</v>
      </c>
      <c r="J992" s="67">
        <f t="shared" si="488"/>
        <v>0</v>
      </c>
      <c r="K992" s="67">
        <f t="shared" si="488"/>
        <v>1.7754584317084601</v>
      </c>
      <c r="L992" s="67">
        <f t="shared" si="488"/>
        <v>1.6128008513833056</v>
      </c>
      <c r="M992" s="67">
        <f t="shared" si="488"/>
        <v>1.263798314691571</v>
      </c>
      <c r="N992" s="67">
        <f t="shared" si="488"/>
        <v>0.87793292920681476</v>
      </c>
      <c r="O992" s="67">
        <f t="shared" si="488"/>
        <v>0.48498075676911617</v>
      </c>
      <c r="P992" s="67">
        <f t="shared" si="488"/>
        <v>0.29154901344959372</v>
      </c>
    </row>
    <row r="993" spans="2:16" ht="13" hidden="1" outlineLevel="1" x14ac:dyDescent="0.3">
      <c r="B993" s="14"/>
      <c r="C993" s="13" t="s">
        <v>348</v>
      </c>
      <c r="D993" s="12" t="s">
        <v>41</v>
      </c>
      <c r="E993" s="12" t="s">
        <v>56</v>
      </c>
      <c r="F993" s="69">
        <v>6855.7304614285722</v>
      </c>
      <c r="G993" s="14"/>
      <c r="H993" s="67">
        <f t="shared" ref="H993:P993" si="489">+IFERROR(AVERAGEIF(G824:H824,no_cero),0)</f>
        <v>0</v>
      </c>
      <c r="I993" s="67">
        <f t="shared" si="489"/>
        <v>0</v>
      </c>
      <c r="J993" s="67">
        <f t="shared" si="489"/>
        <v>0</v>
      </c>
      <c r="K993" s="67">
        <f t="shared" si="489"/>
        <v>13.750467941504914</v>
      </c>
      <c r="L993" s="67">
        <f t="shared" si="489"/>
        <v>15.161342962104559</v>
      </c>
      <c r="M993" s="67">
        <f t="shared" si="489"/>
        <v>15.271036057973333</v>
      </c>
      <c r="N993" s="67">
        <f t="shared" si="489"/>
        <v>12.500610049437292</v>
      </c>
      <c r="O993" s="67">
        <f t="shared" si="489"/>
        <v>9.6472221764058954</v>
      </c>
      <c r="P993" s="67">
        <f t="shared" si="489"/>
        <v>6.8630081907541207</v>
      </c>
    </row>
    <row r="994" spans="2:16" ht="13" hidden="1" outlineLevel="1" x14ac:dyDescent="0.3">
      <c r="B994" s="14"/>
      <c r="C994" s="13" t="s">
        <v>385</v>
      </c>
      <c r="D994" s="12" t="s">
        <v>41</v>
      </c>
      <c r="E994" s="12" t="s">
        <v>56</v>
      </c>
      <c r="F994" s="69">
        <v>2411.0127285714293</v>
      </c>
      <c r="G994" s="14"/>
      <c r="H994" s="67">
        <f t="shared" ref="H994:P994" si="490">+IFERROR(AVERAGEIF(G825:H825,no_cero),0)</f>
        <v>0</v>
      </c>
      <c r="I994" s="67">
        <f t="shared" si="490"/>
        <v>0</v>
      </c>
      <c r="J994" s="67">
        <f t="shared" si="490"/>
        <v>0</v>
      </c>
      <c r="K994" s="67">
        <f t="shared" si="490"/>
        <v>5.4847423185278901</v>
      </c>
      <c r="L994" s="67">
        <f t="shared" si="490"/>
        <v>5.5757879382676032</v>
      </c>
      <c r="M994" s="67">
        <f t="shared" si="490"/>
        <v>5.2150048292650215</v>
      </c>
      <c r="N994" s="67">
        <f t="shared" si="490"/>
        <v>4.2540244363927684</v>
      </c>
      <c r="O994" s="67">
        <f t="shared" si="490"/>
        <v>3.264691842082855</v>
      </c>
      <c r="P994" s="67">
        <f t="shared" si="490"/>
        <v>2.298928903851007</v>
      </c>
    </row>
    <row r="995" spans="2:16" ht="13" hidden="1" outlineLevel="1" x14ac:dyDescent="0.3">
      <c r="B995" s="14"/>
      <c r="C995" s="13" t="s">
        <v>386</v>
      </c>
      <c r="D995" s="12" t="s">
        <v>41</v>
      </c>
      <c r="E995" s="12" t="s">
        <v>56</v>
      </c>
      <c r="F995" s="69">
        <v>159922.28604624994</v>
      </c>
      <c r="G995" s="14"/>
      <c r="H995" s="67">
        <f t="shared" ref="H995:P995" si="491">+IFERROR(AVERAGEIF(G826:H826,no_cero),0)</f>
        <v>0</v>
      </c>
      <c r="I995" s="67">
        <f t="shared" si="491"/>
        <v>0</v>
      </c>
      <c r="J995" s="67">
        <f t="shared" si="491"/>
        <v>0</v>
      </c>
      <c r="K995" s="67">
        <f t="shared" si="491"/>
        <v>0</v>
      </c>
      <c r="L995" s="67">
        <f t="shared" si="491"/>
        <v>359.51552195480178</v>
      </c>
      <c r="M995" s="67">
        <f t="shared" si="491"/>
        <v>352.65021375025327</v>
      </c>
      <c r="N995" s="67">
        <f t="shared" si="491"/>
        <v>334.82255877681791</v>
      </c>
      <c r="O995" s="67">
        <f t="shared" si="491"/>
        <v>315.14422931696367</v>
      </c>
      <c r="P995" s="67">
        <f t="shared" si="491"/>
        <v>297.22752712514955</v>
      </c>
    </row>
    <row r="996" spans="2:16" ht="13" hidden="1" outlineLevel="1" x14ac:dyDescent="0.3">
      <c r="B996" s="14"/>
      <c r="C996" s="13" t="s">
        <v>387</v>
      </c>
      <c r="D996" s="12" t="s">
        <v>41</v>
      </c>
      <c r="E996" s="12" t="s">
        <v>56</v>
      </c>
      <c r="F996" s="69">
        <v>2781.4179285714285</v>
      </c>
      <c r="G996" s="14"/>
      <c r="H996" s="67">
        <f t="shared" ref="H996:P996" si="492">+IFERROR(AVERAGEIF(G827:H827,no_cero),0)</f>
        <v>0</v>
      </c>
      <c r="I996" s="67">
        <f t="shared" si="492"/>
        <v>0</v>
      </c>
      <c r="J996" s="67">
        <f t="shared" si="492"/>
        <v>0</v>
      </c>
      <c r="K996" s="67">
        <f t="shared" si="492"/>
        <v>0</v>
      </c>
      <c r="L996" s="67">
        <f t="shared" si="492"/>
        <v>8.1060940645425514</v>
      </c>
      <c r="M996" s="67">
        <f t="shared" si="492"/>
        <v>7.5294743894783771</v>
      </c>
      <c r="N996" s="67">
        <f t="shared" si="492"/>
        <v>6.292765912326594</v>
      </c>
      <c r="O996" s="67">
        <f t="shared" si="492"/>
        <v>5.0153350683246209</v>
      </c>
      <c r="P996" s="67">
        <f t="shared" si="492"/>
        <v>3.7724707851411701</v>
      </c>
    </row>
    <row r="997" spans="2:16" ht="13" hidden="1" outlineLevel="1" x14ac:dyDescent="0.3">
      <c r="B997" s="14"/>
      <c r="C997" s="13" t="s">
        <v>388</v>
      </c>
      <c r="D997" s="12" t="s">
        <v>41</v>
      </c>
      <c r="E997" s="12" t="s">
        <v>56</v>
      </c>
      <c r="F997" s="69">
        <v>81770.839254999984</v>
      </c>
      <c r="G997" s="14"/>
      <c r="H997" s="67">
        <f t="shared" ref="H997:P997" si="493">+IFERROR(AVERAGEIF(G828:H828,no_cero),0)</f>
        <v>0</v>
      </c>
      <c r="I997" s="67">
        <f t="shared" si="493"/>
        <v>0</v>
      </c>
      <c r="J997" s="67">
        <f t="shared" si="493"/>
        <v>0</v>
      </c>
      <c r="K997" s="67">
        <f t="shared" si="493"/>
        <v>0</v>
      </c>
      <c r="L997" s="67">
        <f t="shared" si="493"/>
        <v>191.30811336224573</v>
      </c>
      <c r="M997" s="67">
        <f t="shared" si="493"/>
        <v>185.95191215038338</v>
      </c>
      <c r="N997" s="67">
        <f t="shared" si="493"/>
        <v>173.09532539015694</v>
      </c>
      <c r="O997" s="67">
        <f t="shared" si="493"/>
        <v>159.2580022905141</v>
      </c>
      <c r="P997" s="67">
        <f t="shared" si="493"/>
        <v>146.33728473788415</v>
      </c>
    </row>
    <row r="998" spans="2:16" ht="13" hidden="1" outlineLevel="1" x14ac:dyDescent="0.3">
      <c r="B998" s="14"/>
      <c r="C998" s="13" t="s">
        <v>389</v>
      </c>
      <c r="D998" s="12" t="s">
        <v>41</v>
      </c>
      <c r="E998" s="12" t="s">
        <v>56</v>
      </c>
      <c r="F998" s="69">
        <v>3762.1287016666656</v>
      </c>
      <c r="G998" s="14"/>
      <c r="H998" s="67">
        <f t="shared" ref="H998:P998" si="494">+IFERROR(AVERAGEIF(G829:H829,no_cero),0)</f>
        <v>0</v>
      </c>
      <c r="I998" s="67">
        <f t="shared" si="494"/>
        <v>0</v>
      </c>
      <c r="J998" s="67">
        <f t="shared" si="494"/>
        <v>0</v>
      </c>
      <c r="K998" s="67">
        <f t="shared" si="494"/>
        <v>0</v>
      </c>
      <c r="L998" s="67">
        <f t="shared" si="494"/>
        <v>9.6090503591893714</v>
      </c>
      <c r="M998" s="67">
        <f t="shared" si="494"/>
        <v>9.1634537220184029</v>
      </c>
      <c r="N998" s="67">
        <f t="shared" si="494"/>
        <v>8.1682906677579048</v>
      </c>
      <c r="O998" s="67">
        <f t="shared" si="494"/>
        <v>7.1242878411194654</v>
      </c>
      <c r="P998" s="67">
        <f t="shared" si="494"/>
        <v>6.1241673636798719</v>
      </c>
    </row>
    <row r="999" spans="2:16" ht="13" hidden="1" outlineLevel="1" x14ac:dyDescent="0.3">
      <c r="B999" s="14"/>
      <c r="C999" s="13" t="s">
        <v>349</v>
      </c>
      <c r="D999" s="12" t="s">
        <v>41</v>
      </c>
      <c r="E999" s="12" t="s">
        <v>56</v>
      </c>
      <c r="F999" s="69">
        <v>4251.422657142858</v>
      </c>
      <c r="G999" s="14"/>
      <c r="H999" s="67">
        <f t="shared" ref="H999:P999" si="495">+IFERROR(AVERAGEIF(G830:H830,no_cero),0)</f>
        <v>0</v>
      </c>
      <c r="I999" s="67">
        <f t="shared" si="495"/>
        <v>0</v>
      </c>
      <c r="J999" s="67">
        <f t="shared" si="495"/>
        <v>0</v>
      </c>
      <c r="K999" s="67">
        <f t="shared" si="495"/>
        <v>10.986961239612377</v>
      </c>
      <c r="L999" s="67">
        <f t="shared" si="495"/>
        <v>10.334919052986145</v>
      </c>
      <c r="M999" s="67">
        <f t="shared" si="495"/>
        <v>8.8935959561648552</v>
      </c>
      <c r="N999" s="67">
        <f t="shared" si="495"/>
        <v>7.2174510179347768</v>
      </c>
      <c r="O999" s="67">
        <f t="shared" si="495"/>
        <v>5.4929019783826298</v>
      </c>
      <c r="P999" s="67">
        <f t="shared" si="495"/>
        <v>3.8084155659751282</v>
      </c>
    </row>
    <row r="1000" spans="2:16" ht="13" hidden="1" outlineLevel="1" x14ac:dyDescent="0.3">
      <c r="B1000" s="14"/>
      <c r="C1000" s="13" t="s">
        <v>390</v>
      </c>
      <c r="D1000" s="12" t="s">
        <v>41</v>
      </c>
      <c r="E1000" s="12" t="s">
        <v>56</v>
      </c>
      <c r="F1000" s="69">
        <v>23980.159103888884</v>
      </c>
      <c r="G1000" s="14"/>
      <c r="H1000" s="67">
        <f t="shared" ref="H1000:P1000" si="496">+IFERROR(AVERAGEIF(G831:H831,no_cero),0)</f>
        <v>0</v>
      </c>
      <c r="I1000" s="67">
        <f t="shared" si="496"/>
        <v>0</v>
      </c>
      <c r="J1000" s="67">
        <f t="shared" si="496"/>
        <v>0</v>
      </c>
      <c r="K1000" s="67">
        <f t="shared" si="496"/>
        <v>0</v>
      </c>
      <c r="L1000" s="67">
        <f t="shared" si="496"/>
        <v>55.960713163209661</v>
      </c>
      <c r="M1000" s="67">
        <f t="shared" si="496"/>
        <v>54.425782414147463</v>
      </c>
      <c r="N1000" s="67">
        <f t="shared" si="496"/>
        <v>50.72688596644339</v>
      </c>
      <c r="O1000" s="67">
        <f t="shared" si="496"/>
        <v>46.739872131365644</v>
      </c>
      <c r="P1000" s="67">
        <f t="shared" si="496"/>
        <v>43.021367015908424</v>
      </c>
    </row>
    <row r="1001" spans="2:16" ht="13" hidden="1" outlineLevel="1" x14ac:dyDescent="0.3">
      <c r="B1001" s="14"/>
      <c r="C1001" s="13" t="s">
        <v>391</v>
      </c>
      <c r="D1001" s="12" t="s">
        <v>41</v>
      </c>
      <c r="E1001" s="12" t="s">
        <v>56</v>
      </c>
      <c r="F1001" s="69">
        <v>683.27112857142868</v>
      </c>
      <c r="G1001" s="14"/>
      <c r="H1001" s="67">
        <f t="shared" ref="H1001:P1001" si="497">+IFERROR(AVERAGEIF(G832:H832,no_cero),0)</f>
        <v>0</v>
      </c>
      <c r="I1001" s="67">
        <f t="shared" si="497"/>
        <v>0</v>
      </c>
      <c r="J1001" s="67">
        <f t="shared" si="497"/>
        <v>0</v>
      </c>
      <c r="K1001" s="67">
        <f t="shared" si="497"/>
        <v>0</v>
      </c>
      <c r="L1001" s="67">
        <f t="shared" si="497"/>
        <v>0</v>
      </c>
      <c r="M1001" s="67">
        <f t="shared" si="497"/>
        <v>2.2248310286889503</v>
      </c>
      <c r="N1001" s="67">
        <f t="shared" si="497"/>
        <v>2.0558467584797668</v>
      </c>
      <c r="O1001" s="67">
        <f t="shared" si="497"/>
        <v>1.7317893346712472</v>
      </c>
      <c r="P1001" s="67">
        <f t="shared" si="497"/>
        <v>1.4188749629100508</v>
      </c>
    </row>
    <row r="1002" spans="2:16" ht="13" hidden="1" outlineLevel="1" x14ac:dyDescent="0.3">
      <c r="B1002" s="14"/>
      <c r="C1002" s="13" t="s">
        <v>392</v>
      </c>
      <c r="D1002" s="12" t="s">
        <v>41</v>
      </c>
      <c r="E1002" s="12" t="s">
        <v>56</v>
      </c>
      <c r="F1002" s="69">
        <v>30273.692289777773</v>
      </c>
      <c r="G1002" s="14"/>
      <c r="H1002" s="67">
        <f t="shared" ref="H1002:P1002" si="498">+IFERROR(AVERAGEIF(G833:H833,no_cero),0)</f>
        <v>0</v>
      </c>
      <c r="I1002" s="67">
        <f t="shared" si="498"/>
        <v>0</v>
      </c>
      <c r="J1002" s="67">
        <f t="shared" si="498"/>
        <v>0</v>
      </c>
      <c r="K1002" s="67">
        <f t="shared" si="498"/>
        <v>0</v>
      </c>
      <c r="L1002" s="67">
        <f t="shared" si="498"/>
        <v>0</v>
      </c>
      <c r="M1002" s="67">
        <f t="shared" si="498"/>
        <v>86.624220169189599</v>
      </c>
      <c r="N1002" s="67">
        <f t="shared" si="498"/>
        <v>83.141854102087763</v>
      </c>
      <c r="O1002" s="67">
        <f t="shared" si="498"/>
        <v>76.73581427235726</v>
      </c>
      <c r="P1002" s="67">
        <f t="shared" si="498"/>
        <v>70.769656050273127</v>
      </c>
    </row>
    <row r="1003" spans="2:16" ht="13" hidden="1" outlineLevel="1" x14ac:dyDescent="0.3">
      <c r="B1003" s="14"/>
      <c r="C1003" s="13" t="s">
        <v>393</v>
      </c>
      <c r="D1003" s="12" t="s">
        <v>41</v>
      </c>
      <c r="E1003" s="12" t="s">
        <v>56</v>
      </c>
      <c r="F1003" s="69">
        <v>146.54866666666663</v>
      </c>
      <c r="G1003" s="14"/>
      <c r="H1003" s="67">
        <f t="shared" ref="H1003:P1003" si="499">+IFERROR(AVERAGEIF(G834:H834,no_cero),0)</f>
        <v>0</v>
      </c>
      <c r="I1003" s="67">
        <f t="shared" si="499"/>
        <v>0</v>
      </c>
      <c r="J1003" s="67">
        <f t="shared" si="499"/>
        <v>0</v>
      </c>
      <c r="K1003" s="67">
        <f t="shared" si="499"/>
        <v>0</v>
      </c>
      <c r="L1003" s="67">
        <f t="shared" si="499"/>
        <v>0.42291811642734928</v>
      </c>
      <c r="M1003" s="67">
        <f t="shared" si="499"/>
        <v>0.39356803770922832</v>
      </c>
      <c r="N1003" s="67">
        <f t="shared" si="499"/>
        <v>0.33049756069186165</v>
      </c>
      <c r="O1003" s="67">
        <f t="shared" si="499"/>
        <v>0.26530073246673119</v>
      </c>
      <c r="P1003" s="67">
        <f t="shared" si="499"/>
        <v>0.20191630546989842</v>
      </c>
    </row>
    <row r="1004" spans="2:16" ht="13" hidden="1" outlineLevel="1" x14ac:dyDescent="0.3">
      <c r="B1004" s="14"/>
      <c r="C1004" s="13" t="s">
        <v>394</v>
      </c>
      <c r="D1004" s="12" t="s">
        <v>41</v>
      </c>
      <c r="E1004" s="12" t="s">
        <v>56</v>
      </c>
      <c r="F1004" s="69">
        <v>159.05317500000001</v>
      </c>
      <c r="G1004" s="14"/>
      <c r="H1004" s="67">
        <f t="shared" ref="H1004:P1004" si="500">+IFERROR(AVERAGEIF(G835:H835,no_cero),0)</f>
        <v>0</v>
      </c>
      <c r="I1004" s="67">
        <f t="shared" si="500"/>
        <v>0</v>
      </c>
      <c r="J1004" s="67">
        <f t="shared" si="500"/>
        <v>0</v>
      </c>
      <c r="K1004" s="67">
        <f t="shared" si="500"/>
        <v>0</v>
      </c>
      <c r="L1004" s="67">
        <f t="shared" si="500"/>
        <v>0.89250837469146949</v>
      </c>
      <c r="M1004" s="67">
        <f t="shared" si="500"/>
        <v>0.71753538616778711</v>
      </c>
      <c r="N1004" s="67">
        <f t="shared" si="500"/>
        <v>0.36075346731768321</v>
      </c>
      <c r="O1004" s="67">
        <f t="shared" si="500"/>
        <v>0.17894453699126175</v>
      </c>
      <c r="P1004" s="67">
        <f t="shared" si="500"/>
        <v>0</v>
      </c>
    </row>
    <row r="1005" spans="2:16" ht="13" hidden="1" outlineLevel="1" x14ac:dyDescent="0.3">
      <c r="B1005" s="14"/>
      <c r="C1005" s="13" t="s">
        <v>395</v>
      </c>
      <c r="D1005" s="12" t="s">
        <v>41</v>
      </c>
      <c r="E1005" s="12" t="s">
        <v>56</v>
      </c>
      <c r="F1005" s="69">
        <v>7591.2611600000018</v>
      </c>
      <c r="G1005" s="14"/>
      <c r="H1005" s="67">
        <f t="shared" ref="H1005:P1005" si="501">+IFERROR(AVERAGEIF(G836:H836,no_cero),0)</f>
        <v>0</v>
      </c>
      <c r="I1005" s="67">
        <f t="shared" si="501"/>
        <v>0</v>
      </c>
      <c r="J1005" s="67">
        <f t="shared" si="501"/>
        <v>0</v>
      </c>
      <c r="K1005" s="67">
        <f t="shared" si="501"/>
        <v>0</v>
      </c>
      <c r="L1005" s="67">
        <f t="shared" si="501"/>
        <v>0</v>
      </c>
      <c r="M1005" s="67">
        <f t="shared" si="501"/>
        <v>38.842979928997025</v>
      </c>
      <c r="N1005" s="67">
        <f t="shared" si="501"/>
        <v>32.232438693965392</v>
      </c>
      <c r="O1005" s="67">
        <f t="shared" si="501"/>
        <v>19.234065500995939</v>
      </c>
      <c r="P1005" s="67">
        <f t="shared" si="501"/>
        <v>6.4231167715290658</v>
      </c>
    </row>
    <row r="1006" spans="2:16" ht="13" hidden="1" outlineLevel="1" x14ac:dyDescent="0.3">
      <c r="B1006" s="14"/>
      <c r="C1006" s="13" t="s">
        <v>396</v>
      </c>
      <c r="D1006" s="12" t="s">
        <v>41</v>
      </c>
      <c r="E1006" s="12" t="s">
        <v>56</v>
      </c>
      <c r="F1006" s="69">
        <v>1632.5183444999998</v>
      </c>
      <c r="G1006" s="14"/>
      <c r="H1006" s="67">
        <f t="shared" ref="H1006:P1006" si="502">+IFERROR(AVERAGEIF(G837:H837,no_cero),0)</f>
        <v>0</v>
      </c>
      <c r="I1006" s="67">
        <f t="shared" si="502"/>
        <v>0</v>
      </c>
      <c r="J1006" s="67">
        <f t="shared" si="502"/>
        <v>0</v>
      </c>
      <c r="K1006" s="67">
        <f t="shared" si="502"/>
        <v>0</v>
      </c>
      <c r="L1006" s="67">
        <f t="shared" si="502"/>
        <v>0</v>
      </c>
      <c r="M1006" s="67">
        <f t="shared" si="502"/>
        <v>0</v>
      </c>
      <c r="N1006" s="67">
        <f t="shared" si="502"/>
        <v>0</v>
      </c>
      <c r="O1006" s="67">
        <f t="shared" si="502"/>
        <v>8.5012577806507803</v>
      </c>
      <c r="P1006" s="67">
        <f t="shared" si="502"/>
        <v>8.2867514237762876</v>
      </c>
    </row>
    <row r="1007" spans="2:16" ht="13" hidden="1" outlineLevel="1" x14ac:dyDescent="0.3">
      <c r="B1007" s="14"/>
      <c r="C1007" s="13" t="s">
        <v>385</v>
      </c>
      <c r="D1007" s="12" t="s">
        <v>41</v>
      </c>
      <c r="E1007" s="12" t="s">
        <v>56</v>
      </c>
      <c r="F1007" s="69">
        <v>925.11746285714275</v>
      </c>
      <c r="G1007" s="14"/>
      <c r="H1007" s="67">
        <f t="shared" ref="H1007:P1007" si="503">+IFERROR(AVERAGEIF(G838:H838,no_cero),0)</f>
        <v>0</v>
      </c>
      <c r="I1007" s="67">
        <f t="shared" si="503"/>
        <v>0</v>
      </c>
      <c r="J1007" s="67">
        <f t="shared" si="503"/>
        <v>0</v>
      </c>
      <c r="K1007" s="67">
        <f t="shared" si="503"/>
        <v>0</v>
      </c>
      <c r="L1007" s="67">
        <f t="shared" si="503"/>
        <v>0</v>
      </c>
      <c r="M1007" s="67">
        <f t="shared" si="503"/>
        <v>0</v>
      </c>
      <c r="N1007" s="67">
        <f t="shared" si="503"/>
        <v>3.6734599508882821</v>
      </c>
      <c r="O1007" s="67">
        <f t="shared" si="503"/>
        <v>3.4022504775242268</v>
      </c>
      <c r="P1007" s="67">
        <f t="shared" si="503"/>
        <v>2.8544259830544361</v>
      </c>
    </row>
    <row r="1008" spans="2:16" ht="13" hidden="1" outlineLevel="1" x14ac:dyDescent="0.3">
      <c r="B1008" s="14"/>
      <c r="C1008" s="13" t="s">
        <v>349</v>
      </c>
      <c r="D1008" s="12" t="s">
        <v>41</v>
      </c>
      <c r="E1008" s="12" t="s">
        <v>56</v>
      </c>
      <c r="F1008" s="69">
        <v>3743.3185374999989</v>
      </c>
      <c r="G1008" s="14"/>
      <c r="H1008" s="67">
        <f t="shared" ref="H1008:P1008" si="504">+IFERROR(AVERAGEIF(G839:H839,no_cero),0)</f>
        <v>0</v>
      </c>
      <c r="I1008" s="67">
        <f t="shared" si="504"/>
        <v>0</v>
      </c>
      <c r="J1008" s="67">
        <f t="shared" si="504"/>
        <v>0</v>
      </c>
      <c r="K1008" s="67">
        <f t="shared" si="504"/>
        <v>0</v>
      </c>
      <c r="L1008" s="67">
        <f t="shared" si="504"/>
        <v>0</v>
      </c>
      <c r="M1008" s="67">
        <f t="shared" si="504"/>
        <v>0</v>
      </c>
      <c r="N1008" s="67">
        <f t="shared" si="504"/>
        <v>14.924977517255703</v>
      </c>
      <c r="O1008" s="67">
        <f t="shared" si="504"/>
        <v>13.797081014808873</v>
      </c>
      <c r="P1008" s="67">
        <f t="shared" si="504"/>
        <v>11.519339676752981</v>
      </c>
    </row>
    <row r="1009" spans="2:16" ht="13" hidden="1" outlineLevel="1" x14ac:dyDescent="0.3">
      <c r="B1009" s="14"/>
      <c r="C1009" s="13" t="s">
        <v>397</v>
      </c>
      <c r="D1009" s="12" t="s">
        <v>41</v>
      </c>
      <c r="E1009" s="12" t="s">
        <v>56</v>
      </c>
      <c r="F1009" s="69">
        <v>42.418179166666661</v>
      </c>
      <c r="G1009" s="14"/>
      <c r="H1009" s="67">
        <f t="shared" ref="H1009:P1009" si="505">+IFERROR(AVERAGEIF(G840:H840,no_cero),0)</f>
        <v>0</v>
      </c>
      <c r="I1009" s="67">
        <f t="shared" si="505"/>
        <v>0</v>
      </c>
      <c r="J1009" s="67">
        <f t="shared" si="505"/>
        <v>0</v>
      </c>
      <c r="K1009" s="67">
        <f t="shared" si="505"/>
        <v>0</v>
      </c>
      <c r="L1009" s="67">
        <f t="shared" si="505"/>
        <v>0</v>
      </c>
      <c r="M1009" s="67">
        <f t="shared" si="505"/>
        <v>0</v>
      </c>
      <c r="N1009" s="67">
        <f t="shared" si="505"/>
        <v>0.2379569636600829</v>
      </c>
      <c r="O1009" s="67">
        <f t="shared" si="505"/>
        <v>0.19076020881337219</v>
      </c>
      <c r="P1009" s="67">
        <f t="shared" si="505"/>
        <v>9.6032477133516106E-2</v>
      </c>
    </row>
    <row r="1010" spans="2:16" ht="13" hidden="1" outlineLevel="1" x14ac:dyDescent="0.3">
      <c r="B1010" s="14"/>
      <c r="C1010" s="13" t="s">
        <v>390</v>
      </c>
      <c r="D1010" s="12" t="s">
        <v>41</v>
      </c>
      <c r="E1010" s="12" t="s">
        <v>56</v>
      </c>
      <c r="F1010" s="69">
        <v>8831.3577311666668</v>
      </c>
      <c r="G1010" s="14"/>
      <c r="H1010" s="67">
        <f t="shared" ref="H1010:P1010" si="506">+IFERROR(AVERAGEIF(G841:H841,no_cero),0)</f>
        <v>0</v>
      </c>
      <c r="I1010" s="67">
        <f t="shared" si="506"/>
        <v>0</v>
      </c>
      <c r="J1010" s="67">
        <f t="shared" si="506"/>
        <v>0</v>
      </c>
      <c r="K1010" s="67">
        <f t="shared" si="506"/>
        <v>0</v>
      </c>
      <c r="L1010" s="67">
        <f t="shared" si="506"/>
        <v>0</v>
      </c>
      <c r="M1010" s="67">
        <f t="shared" si="506"/>
        <v>0</v>
      </c>
      <c r="N1010" s="67">
        <f t="shared" si="506"/>
        <v>32.013034737726883</v>
      </c>
      <c r="O1010" s="67">
        <f t="shared" si="506"/>
        <v>30.951291567207438</v>
      </c>
      <c r="P1010" s="67">
        <f t="shared" si="506"/>
        <v>28.779997475354772</v>
      </c>
    </row>
    <row r="1011" spans="2:16" ht="13" hidden="1" outlineLevel="1" x14ac:dyDescent="0.3">
      <c r="B1011" s="14"/>
      <c r="C1011" s="13" t="s">
        <v>398</v>
      </c>
      <c r="D1011" s="12" t="s">
        <v>41</v>
      </c>
      <c r="E1011" s="12" t="s">
        <v>56</v>
      </c>
      <c r="F1011" s="69">
        <v>419.53135714285719</v>
      </c>
      <c r="G1011" s="14"/>
      <c r="H1011" s="67">
        <f t="shared" ref="H1011:P1011" si="507">+IFERROR(AVERAGEIF(G842:H842,no_cero),0)</f>
        <v>0</v>
      </c>
      <c r="I1011" s="67">
        <f t="shared" si="507"/>
        <v>0</v>
      </c>
      <c r="J1011" s="67">
        <f t="shared" si="507"/>
        <v>0</v>
      </c>
      <c r="K1011" s="67">
        <f t="shared" si="507"/>
        <v>0</v>
      </c>
      <c r="L1011" s="67">
        <f t="shared" si="507"/>
        <v>0</v>
      </c>
      <c r="M1011" s="67">
        <f t="shared" si="507"/>
        <v>0</v>
      </c>
      <c r="N1011" s="67">
        <f t="shared" si="507"/>
        <v>1.673448880358023</v>
      </c>
      <c r="O1011" s="67">
        <f t="shared" si="507"/>
        <v>1.5466720600674133</v>
      </c>
      <c r="P1011" s="67">
        <f t="shared" si="507"/>
        <v>1.2906576516183339</v>
      </c>
    </row>
    <row r="1012" spans="2:16" ht="13" hidden="1" outlineLevel="1" x14ac:dyDescent="0.3">
      <c r="B1012" s="14"/>
      <c r="C1012" s="13" t="s">
        <v>399</v>
      </c>
      <c r="D1012" s="12" t="s">
        <v>41</v>
      </c>
      <c r="E1012" s="12" t="s">
        <v>56</v>
      </c>
      <c r="F1012" s="69">
        <v>637.54391821428578</v>
      </c>
      <c r="G1012" s="14"/>
      <c r="H1012" s="67">
        <f t="shared" ref="H1012:P1012" si="508">+IFERROR(AVERAGEIF(G843:H843,no_cero),0)</f>
        <v>0</v>
      </c>
      <c r="I1012" s="67">
        <f t="shared" si="508"/>
        <v>0</v>
      </c>
      <c r="J1012" s="67">
        <f t="shared" si="508"/>
        <v>0</v>
      </c>
      <c r="K1012" s="67">
        <f t="shared" si="508"/>
        <v>0</v>
      </c>
      <c r="L1012" s="67">
        <f t="shared" si="508"/>
        <v>0</v>
      </c>
      <c r="M1012" s="67">
        <f t="shared" si="508"/>
        <v>0</v>
      </c>
      <c r="N1012" s="67">
        <f t="shared" si="508"/>
        <v>2.5400496458179509</v>
      </c>
      <c r="O1012" s="67">
        <f t="shared" si="508"/>
        <v>2.3489019547473777</v>
      </c>
      <c r="P1012" s="67">
        <f t="shared" si="508"/>
        <v>1.9628707994545156</v>
      </c>
    </row>
    <row r="1013" spans="2:16" ht="13" hidden="1" outlineLevel="1" x14ac:dyDescent="0.3">
      <c r="B1013" s="14"/>
      <c r="C1013" s="13" t="s">
        <v>400</v>
      </c>
      <c r="D1013" s="12" t="s">
        <v>41</v>
      </c>
      <c r="E1013" s="12" t="s">
        <v>56</v>
      </c>
      <c r="F1013" s="69">
        <v>32.471847499999996</v>
      </c>
      <c r="G1013" s="14"/>
      <c r="H1013" s="67">
        <f t="shared" ref="H1013:P1013" si="509">+IFERROR(AVERAGEIF(G844:H844,no_cero),0)</f>
        <v>0</v>
      </c>
      <c r="I1013" s="67">
        <f t="shared" si="509"/>
        <v>0</v>
      </c>
      <c r="J1013" s="67">
        <f t="shared" si="509"/>
        <v>0</v>
      </c>
      <c r="K1013" s="67">
        <f t="shared" si="509"/>
        <v>0</v>
      </c>
      <c r="L1013" s="67">
        <f t="shared" si="509"/>
        <v>0</v>
      </c>
      <c r="M1013" s="67">
        <f t="shared" si="509"/>
        <v>0</v>
      </c>
      <c r="N1013" s="67">
        <f t="shared" si="509"/>
        <v>0.18068931265475172</v>
      </c>
      <c r="O1013" s="67">
        <f t="shared" si="509"/>
        <v>0.14529480594909799</v>
      </c>
      <c r="P1013" s="67">
        <f t="shared" si="509"/>
        <v>7.4251767088196211E-2</v>
      </c>
    </row>
    <row r="1014" spans="2:16" ht="13" hidden="1" outlineLevel="1" x14ac:dyDescent="0.3">
      <c r="B1014" s="14"/>
      <c r="C1014" s="13" t="s">
        <v>401</v>
      </c>
      <c r="D1014" s="12" t="s">
        <v>41</v>
      </c>
      <c r="E1014" s="12" t="s">
        <v>56</v>
      </c>
      <c r="F1014" s="69">
        <v>1090.1114164285714</v>
      </c>
      <c r="G1014" s="14"/>
      <c r="H1014" s="67">
        <f t="shared" ref="H1014:P1014" si="510">+IFERROR(AVERAGEIF(G845:H845,no_cero),0)</f>
        <v>0</v>
      </c>
      <c r="I1014" s="67">
        <f t="shared" si="510"/>
        <v>0</v>
      </c>
      <c r="J1014" s="67">
        <f t="shared" si="510"/>
        <v>0</v>
      </c>
      <c r="K1014" s="67">
        <f t="shared" si="510"/>
        <v>0</v>
      </c>
      <c r="L1014" s="67">
        <f t="shared" si="510"/>
        <v>0</v>
      </c>
      <c r="M1014" s="67">
        <f t="shared" si="510"/>
        <v>0</v>
      </c>
      <c r="N1014" s="67">
        <f t="shared" si="510"/>
        <v>4.3482941101508805</v>
      </c>
      <c r="O1014" s="67">
        <f t="shared" si="510"/>
        <v>4.0188768764105971</v>
      </c>
      <c r="P1014" s="67">
        <f t="shared" si="510"/>
        <v>3.3536483430270563</v>
      </c>
    </row>
    <row r="1015" spans="2:16" ht="13" hidden="1" outlineLevel="1" x14ac:dyDescent="0.3">
      <c r="B1015" s="14"/>
      <c r="C1015" s="13" t="s">
        <v>402</v>
      </c>
      <c r="D1015" s="12" t="s">
        <v>41</v>
      </c>
      <c r="E1015" s="12" t="s">
        <v>56</v>
      </c>
      <c r="F1015" s="69">
        <v>1359.9488571428574</v>
      </c>
      <c r="G1015" s="14"/>
      <c r="H1015" s="67">
        <f t="shared" ref="H1015:P1015" si="511">+IFERROR(AVERAGEIF(G846:H846,no_cero),0)</f>
        <v>0</v>
      </c>
      <c r="I1015" s="67">
        <f t="shared" si="511"/>
        <v>0</v>
      </c>
      <c r="J1015" s="67">
        <f t="shared" si="511"/>
        <v>0</v>
      </c>
      <c r="K1015" s="67">
        <f t="shared" si="511"/>
        <v>0</v>
      </c>
      <c r="L1015" s="67">
        <f t="shared" si="511"/>
        <v>0</v>
      </c>
      <c r="M1015" s="67">
        <f t="shared" si="511"/>
        <v>0</v>
      </c>
      <c r="N1015" s="67">
        <f t="shared" si="511"/>
        <v>5.4246359743615997</v>
      </c>
      <c r="O1015" s="67">
        <f t="shared" si="511"/>
        <v>5.0136774394845238</v>
      </c>
      <c r="P1015" s="67">
        <f t="shared" si="511"/>
        <v>4.1837835680143298</v>
      </c>
    </row>
    <row r="1016" spans="2:16" ht="13" hidden="1" outlineLevel="1" x14ac:dyDescent="0.3">
      <c r="B1016" s="14"/>
      <c r="C1016" s="13" t="s">
        <v>403</v>
      </c>
      <c r="D1016" s="12" t="s">
        <v>41</v>
      </c>
      <c r="E1016" s="12" t="s">
        <v>56</v>
      </c>
      <c r="F1016" s="69">
        <v>835.51834928571429</v>
      </c>
      <c r="G1016" s="14"/>
      <c r="H1016" s="67">
        <f t="shared" ref="H1016:P1016" si="512">+IFERROR(AVERAGEIF(G847:H847,no_cero),0)</f>
        <v>0</v>
      </c>
      <c r="I1016" s="67">
        <f t="shared" si="512"/>
        <v>0</v>
      </c>
      <c r="J1016" s="67">
        <f t="shared" si="512"/>
        <v>0</v>
      </c>
      <c r="K1016" s="67">
        <f t="shared" si="512"/>
        <v>0</v>
      </c>
      <c r="L1016" s="67">
        <f t="shared" si="512"/>
        <v>0</v>
      </c>
      <c r="M1016" s="67">
        <f t="shared" si="512"/>
        <v>0</v>
      </c>
      <c r="N1016" s="67">
        <f t="shared" si="512"/>
        <v>3.3327598100245304</v>
      </c>
      <c r="O1016" s="67">
        <f t="shared" si="512"/>
        <v>3.0802772296084191</v>
      </c>
      <c r="P1016" s="67">
        <f t="shared" si="512"/>
        <v>2.5704113225699246</v>
      </c>
    </row>
    <row r="1017" spans="2:16" ht="13" hidden="1" outlineLevel="1" x14ac:dyDescent="0.3">
      <c r="B1017" s="14"/>
      <c r="C1017" s="13" t="s">
        <v>404</v>
      </c>
      <c r="D1017" s="12" t="s">
        <v>41</v>
      </c>
      <c r="E1017" s="12" t="s">
        <v>56</v>
      </c>
      <c r="F1017" s="69">
        <v>10.531410000000001</v>
      </c>
      <c r="G1017" s="14"/>
      <c r="H1017" s="67">
        <f t="shared" ref="H1017:P1017" si="513">+IFERROR(AVERAGEIF(G848:H848,no_cero),0)</f>
        <v>0</v>
      </c>
      <c r="I1017" s="67">
        <f t="shared" si="513"/>
        <v>0</v>
      </c>
      <c r="J1017" s="67">
        <f t="shared" si="513"/>
        <v>0</v>
      </c>
      <c r="K1017" s="67">
        <f t="shared" si="513"/>
        <v>0</v>
      </c>
      <c r="L1017" s="67">
        <f t="shared" si="513"/>
        <v>0</v>
      </c>
      <c r="M1017" s="67">
        <f t="shared" si="513"/>
        <v>0</v>
      </c>
      <c r="N1017" s="67">
        <f t="shared" si="513"/>
        <v>5.9242397591721882E-2</v>
      </c>
      <c r="O1017" s="67">
        <f t="shared" si="513"/>
        <v>4.7442868943446501E-2</v>
      </c>
      <c r="P1017" s="67">
        <f t="shared" si="513"/>
        <v>2.3760629368039125E-2</v>
      </c>
    </row>
    <row r="1018" spans="2:16" ht="13" hidden="1" outlineLevel="1" x14ac:dyDescent="0.3">
      <c r="B1018" s="14"/>
      <c r="C1018" s="13" t="s">
        <v>405</v>
      </c>
      <c r="D1018" s="12" t="s">
        <v>41</v>
      </c>
      <c r="E1018" s="12" t="s">
        <v>56</v>
      </c>
      <c r="F1018" s="69">
        <v>931.4009657142858</v>
      </c>
      <c r="G1018" s="14"/>
      <c r="H1018" s="67">
        <f t="shared" ref="H1018:P1018" si="514">+IFERROR(AVERAGEIF(G849:H849,no_cero),0)</f>
        <v>0</v>
      </c>
      <c r="I1018" s="67">
        <f t="shared" si="514"/>
        <v>0</v>
      </c>
      <c r="J1018" s="67">
        <f t="shared" si="514"/>
        <v>0</v>
      </c>
      <c r="K1018" s="67">
        <f t="shared" si="514"/>
        <v>0</v>
      </c>
      <c r="L1018" s="67">
        <f t="shared" si="514"/>
        <v>0</v>
      </c>
      <c r="M1018" s="67">
        <f t="shared" si="514"/>
        <v>0</v>
      </c>
      <c r="N1018" s="67">
        <f t="shared" si="514"/>
        <v>0</v>
      </c>
      <c r="O1018" s="67">
        <f t="shared" si="514"/>
        <v>5.122499509071778</v>
      </c>
      <c r="P1018" s="67">
        <f t="shared" si="514"/>
        <v>4.727878293091635</v>
      </c>
    </row>
    <row r="1019" spans="2:16" ht="13" hidden="1" outlineLevel="1" x14ac:dyDescent="0.3">
      <c r="B1019" s="14"/>
      <c r="C1019" s="13" t="s">
        <v>406</v>
      </c>
      <c r="D1019" s="12" t="s">
        <v>41</v>
      </c>
      <c r="E1019" s="12" t="s">
        <v>56</v>
      </c>
      <c r="F1019" s="69">
        <v>71.428571428571416</v>
      </c>
      <c r="G1019" s="14"/>
      <c r="H1019" s="67">
        <f t="shared" ref="H1019:P1019" si="515">+IFERROR(AVERAGEIF(G850:H850,no_cero),0)</f>
        <v>0</v>
      </c>
      <c r="I1019" s="67">
        <f t="shared" si="515"/>
        <v>0</v>
      </c>
      <c r="J1019" s="67">
        <f t="shared" si="515"/>
        <v>0</v>
      </c>
      <c r="K1019" s="67">
        <f t="shared" si="515"/>
        <v>0</v>
      </c>
      <c r="L1019" s="67">
        <f t="shared" si="515"/>
        <v>0</v>
      </c>
      <c r="M1019" s="67">
        <f t="shared" si="515"/>
        <v>0</v>
      </c>
      <c r="N1019" s="67">
        <f t="shared" si="515"/>
        <v>0</v>
      </c>
      <c r="O1019" s="67">
        <f t="shared" si="515"/>
        <v>0.39163261735389127</v>
      </c>
      <c r="P1019" s="67">
        <f t="shared" si="515"/>
        <v>0.36257793734420823</v>
      </c>
    </row>
    <row r="1020" spans="2:16" ht="13" hidden="1" outlineLevel="1" x14ac:dyDescent="0.3">
      <c r="B1020" s="14"/>
      <c r="C1020" s="13" t="s">
        <v>407</v>
      </c>
      <c r="D1020" s="12" t="s">
        <v>41</v>
      </c>
      <c r="E1020" s="12" t="s">
        <v>56</v>
      </c>
      <c r="F1020" s="69">
        <v>538.2307152777779</v>
      </c>
      <c r="G1020" s="14"/>
      <c r="H1020" s="67">
        <f t="shared" ref="H1020:P1020" si="516">+IFERROR(AVERAGEIF(G851:H851,no_cero),0)</f>
        <v>0</v>
      </c>
      <c r="I1020" s="67">
        <f t="shared" si="516"/>
        <v>0</v>
      </c>
      <c r="J1020" s="67">
        <f t="shared" si="516"/>
        <v>0</v>
      </c>
      <c r="K1020" s="67">
        <f t="shared" si="516"/>
        <v>0</v>
      </c>
      <c r="L1020" s="67">
        <f t="shared" si="516"/>
        <v>0</v>
      </c>
      <c r="M1020" s="67">
        <f t="shared" si="516"/>
        <v>0</v>
      </c>
      <c r="N1020" s="67">
        <f t="shared" si="516"/>
        <v>0</v>
      </c>
      <c r="O1020" s="67">
        <f t="shared" si="516"/>
        <v>0</v>
      </c>
      <c r="P1020" s="67">
        <f t="shared" si="516"/>
        <v>5.4634227369502231</v>
      </c>
    </row>
    <row r="1021" spans="2:16" ht="13" hidden="1" outlineLevel="1" x14ac:dyDescent="0.3">
      <c r="B1021" s="14"/>
      <c r="C1021" s="13" t="s">
        <v>377</v>
      </c>
      <c r="D1021" s="12" t="s">
        <v>41</v>
      </c>
      <c r="E1021" s="12" t="s">
        <v>56</v>
      </c>
      <c r="F1021" s="69">
        <v>4152.5185965000001</v>
      </c>
      <c r="G1021" s="14"/>
      <c r="H1021" s="67">
        <f t="shared" ref="H1021:P1021" si="517">+IFERROR(AVERAGEIF(G852:H852,no_cero),0)</f>
        <v>7.919396991666666</v>
      </c>
      <c r="I1021" s="67">
        <f t="shared" si="517"/>
        <v>7.3948614236676722</v>
      </c>
      <c r="J1021" s="67">
        <f t="shared" si="517"/>
        <v>6.4780622951312576</v>
      </c>
      <c r="K1021" s="67">
        <f t="shared" si="517"/>
        <v>5.6985508959195563</v>
      </c>
      <c r="L1021" s="67">
        <f t="shared" si="517"/>
        <v>4.9857889958176926</v>
      </c>
      <c r="M1021" s="67">
        <f t="shared" si="517"/>
        <v>4.2681454929619882</v>
      </c>
      <c r="N1021" s="67">
        <f t="shared" si="517"/>
        <v>3.4371796198949447</v>
      </c>
      <c r="O1021" s="67">
        <f t="shared" si="517"/>
        <v>2.5829465301365064</v>
      </c>
      <c r="P1021" s="67">
        <f t="shared" si="517"/>
        <v>1.747845464826125</v>
      </c>
    </row>
    <row r="1022" spans="2:16" ht="13" hidden="1" outlineLevel="1" x14ac:dyDescent="0.3">
      <c r="B1022" s="14"/>
      <c r="C1022" s="13" t="s">
        <v>326</v>
      </c>
      <c r="D1022" s="12" t="s">
        <v>41</v>
      </c>
      <c r="E1022" s="12" t="s">
        <v>56</v>
      </c>
      <c r="F1022" s="69">
        <v>23.200200000000002</v>
      </c>
      <c r="G1022" s="14"/>
      <c r="H1022" s="67">
        <f t="shared" ref="H1022:P1022" si="518">+IFERROR(AVERAGEIF(G853:H853,no_cero),0)</f>
        <v>5.8000500000000003E-2</v>
      </c>
      <c r="I1022" s="67">
        <f t="shared" si="518"/>
        <v>5.3077162221800325E-2</v>
      </c>
      <c r="J1022" s="67">
        <f t="shared" si="518"/>
        <v>4.4193560626102649E-2</v>
      </c>
      <c r="K1022" s="67">
        <f t="shared" si="518"/>
        <v>3.6295340521805393E-2</v>
      </c>
      <c r="L1022" s="67">
        <f t="shared" si="518"/>
        <v>2.873226703383349E-2</v>
      </c>
      <c r="M1022" s="67">
        <f t="shared" si="518"/>
        <v>2.103291982128086E-2</v>
      </c>
      <c r="N1022" s="67">
        <f t="shared" si="518"/>
        <v>1.2674251669391009E-2</v>
      </c>
      <c r="O1022" s="67">
        <f t="shared" si="518"/>
        <v>4.1949067644405837E-3</v>
      </c>
      <c r="P1022" s="67">
        <f t="shared" si="518"/>
        <v>9.0180647195956333E-18</v>
      </c>
    </row>
    <row r="1023" spans="2:16" ht="13" hidden="1" outlineLevel="1" x14ac:dyDescent="0.3">
      <c r="B1023" s="14"/>
      <c r="C1023" s="13" t="s">
        <v>451</v>
      </c>
      <c r="D1023" s="12" t="s">
        <v>41</v>
      </c>
      <c r="E1023" s="12" t="s">
        <v>56</v>
      </c>
      <c r="F1023" s="69">
        <v>187.21871000000007</v>
      </c>
      <c r="G1023" s="14"/>
      <c r="H1023" s="67">
        <f t="shared" ref="H1023:P1023" si="519">+IFERROR(AVERAGEIF(G854:H854,no_cero),0)</f>
        <v>0</v>
      </c>
      <c r="I1023" s="67">
        <f t="shared" si="519"/>
        <v>0.48652360288041963</v>
      </c>
      <c r="J1023" s="67">
        <f t="shared" si="519"/>
        <v>0.44915055861913877</v>
      </c>
      <c r="K1023" s="67">
        <f t="shared" si="519"/>
        <v>0.37465786050402949</v>
      </c>
      <c r="L1023" s="67">
        <f t="shared" si="519"/>
        <v>0.30384058844009898</v>
      </c>
      <c r="M1023" s="67">
        <f t="shared" si="519"/>
        <v>0.23186894423645446</v>
      </c>
      <c r="N1023" s="67">
        <f t="shared" si="519"/>
        <v>0.15294165788320033</v>
      </c>
      <c r="O1023" s="67">
        <f t="shared" si="519"/>
        <v>7.270267965942262E-2</v>
      </c>
      <c r="P1023" s="67">
        <f t="shared" si="519"/>
        <v>1.6558480897678304E-2</v>
      </c>
    </row>
    <row r="1024" spans="2:16" ht="13" hidden="1" outlineLevel="1" x14ac:dyDescent="0.3">
      <c r="B1024" s="14"/>
      <c r="C1024" s="13" t="s">
        <v>452</v>
      </c>
      <c r="D1024" s="12" t="s">
        <v>41</v>
      </c>
      <c r="E1024" s="12" t="s">
        <v>56</v>
      </c>
      <c r="F1024" s="69">
        <v>145.71902821428571</v>
      </c>
      <c r="G1024" s="14"/>
      <c r="H1024" s="67">
        <f t="shared" ref="H1024:P1024" si="520">+IFERROR(AVERAGEIF(G855:H855,no_cero),0)</f>
        <v>0</v>
      </c>
      <c r="I1024" s="67">
        <f t="shared" si="520"/>
        <v>0</v>
      </c>
      <c r="J1024" s="67">
        <f t="shared" si="520"/>
        <v>1.4151360208842183</v>
      </c>
      <c r="K1024" s="67">
        <f t="shared" si="520"/>
        <v>1.4151360208842183</v>
      </c>
      <c r="L1024" s="67">
        <f t="shared" si="520"/>
        <v>0</v>
      </c>
      <c r="M1024" s="67">
        <f t="shared" si="520"/>
        <v>0</v>
      </c>
      <c r="N1024" s="67">
        <f t="shared" si="520"/>
        <v>0</v>
      </c>
      <c r="O1024" s="67">
        <f t="shared" si="520"/>
        <v>0</v>
      </c>
      <c r="P1024" s="67">
        <f t="shared" si="520"/>
        <v>0</v>
      </c>
    </row>
    <row r="1025" spans="2:16" ht="13" hidden="1" outlineLevel="1" x14ac:dyDescent="0.3">
      <c r="B1025" s="14"/>
      <c r="C1025" s="13" t="s">
        <v>402</v>
      </c>
      <c r="D1025" s="12" t="s">
        <v>41</v>
      </c>
      <c r="E1025" s="12" t="s">
        <v>56</v>
      </c>
      <c r="F1025" s="69">
        <v>2035.1075000000005</v>
      </c>
      <c r="G1025" s="14"/>
      <c r="H1025" s="67">
        <f t="shared" ref="H1025:P1025" si="521">+IFERROR(AVERAGEIF(G856:H856,no_cero),0)</f>
        <v>0</v>
      </c>
      <c r="I1025" s="67">
        <f t="shared" si="521"/>
        <v>0</v>
      </c>
      <c r="J1025" s="67">
        <f t="shared" si="521"/>
        <v>0</v>
      </c>
      <c r="K1025" s="67">
        <f t="shared" si="521"/>
        <v>5.2982909613917002</v>
      </c>
      <c r="L1025" s="67">
        <f t="shared" si="521"/>
        <v>4.9787783181294545</v>
      </c>
      <c r="M1025" s="67">
        <f t="shared" si="521"/>
        <v>4.273438016461184</v>
      </c>
      <c r="N1025" s="67">
        <f t="shared" si="521"/>
        <v>3.4549545399118453</v>
      </c>
      <c r="O1025" s="67">
        <f t="shared" si="521"/>
        <v>2.6131940695757701</v>
      </c>
      <c r="P1025" s="67">
        <f t="shared" si="521"/>
        <v>1.7906374299931656</v>
      </c>
    </row>
    <row r="1026" spans="2:16" ht="13" hidden="1" outlineLevel="1" x14ac:dyDescent="0.3">
      <c r="B1026" s="14"/>
      <c r="C1026" s="13" t="s">
        <v>453</v>
      </c>
      <c r="D1026" s="12" t="s">
        <v>41</v>
      </c>
      <c r="E1026" s="12" t="s">
        <v>56</v>
      </c>
      <c r="F1026" s="69">
        <v>693.80290571428577</v>
      </c>
      <c r="G1026" s="14"/>
      <c r="H1026" s="67">
        <f t="shared" ref="H1026:P1026" si="522">+IFERROR(AVERAGEIF(G857:H857,no_cero),0)</f>
        <v>0</v>
      </c>
      <c r="I1026" s="67">
        <f t="shared" si="522"/>
        <v>0</v>
      </c>
      <c r="J1026" s="67">
        <f t="shared" si="522"/>
        <v>0</v>
      </c>
      <c r="K1026" s="67">
        <f t="shared" si="522"/>
        <v>0</v>
      </c>
      <c r="L1026" s="67">
        <f t="shared" si="522"/>
        <v>0</v>
      </c>
      <c r="M1026" s="67">
        <f t="shared" si="522"/>
        <v>2.2591240400498367</v>
      </c>
      <c r="N1026" s="67">
        <f t="shared" si="522"/>
        <v>2.0875350868677129</v>
      </c>
      <c r="O1026" s="67">
        <f t="shared" si="522"/>
        <v>1.758482719725095</v>
      </c>
      <c r="P1026" s="67">
        <f t="shared" si="522"/>
        <v>1.4407451609589446</v>
      </c>
    </row>
    <row r="1027" spans="2:16" ht="13" hidden="1" outlineLevel="1" x14ac:dyDescent="0.3">
      <c r="B1027" s="14"/>
      <c r="C1027" s="13" t="s">
        <v>454</v>
      </c>
      <c r="D1027" s="12" t="s">
        <v>41</v>
      </c>
      <c r="E1027" s="12" t="s">
        <v>56</v>
      </c>
      <c r="F1027" s="69">
        <v>130.05675866666664</v>
      </c>
      <c r="G1027" s="14"/>
      <c r="H1027" s="67">
        <f t="shared" ref="H1027:P1027" si="523">+IFERROR(AVERAGEIF(G858:H858,no_cero),0)</f>
        <v>0</v>
      </c>
      <c r="I1027" s="67">
        <f t="shared" si="523"/>
        <v>0</v>
      </c>
      <c r="J1027" s="67">
        <f t="shared" si="523"/>
        <v>0</v>
      </c>
      <c r="K1027" s="67">
        <f t="shared" si="523"/>
        <v>0</v>
      </c>
      <c r="L1027" s="67">
        <f t="shared" si="523"/>
        <v>0</v>
      </c>
      <c r="M1027" s="67">
        <f t="shared" si="523"/>
        <v>0.50148668324001011</v>
      </c>
      <c r="N1027" s="67">
        <f t="shared" si="523"/>
        <v>0.44318329060607564</v>
      </c>
      <c r="O1027" s="67">
        <f t="shared" si="523"/>
        <v>0.32960078469816412</v>
      </c>
      <c r="P1027" s="67">
        <f t="shared" si="523"/>
        <v>0.2184906499831637</v>
      </c>
    </row>
    <row r="1028" spans="2:16" ht="13" hidden="1" outlineLevel="1" x14ac:dyDescent="0.3">
      <c r="B1028" s="14"/>
      <c r="C1028" s="13" t="s">
        <v>455</v>
      </c>
      <c r="D1028" s="12" t="s">
        <v>41</v>
      </c>
      <c r="E1028" s="12" t="s">
        <v>56</v>
      </c>
      <c r="F1028" s="69">
        <v>116.49631000000001</v>
      </c>
      <c r="G1028" s="14"/>
      <c r="H1028" s="67">
        <f t="shared" ref="H1028:P1028" si="524">+IFERROR(AVERAGEIF(G859:H859,no_cero),0)</f>
        <v>0</v>
      </c>
      <c r="I1028" s="67">
        <f t="shared" si="524"/>
        <v>0</v>
      </c>
      <c r="J1028" s="67">
        <f t="shared" si="524"/>
        <v>0</v>
      </c>
      <c r="K1028" s="67">
        <f t="shared" si="524"/>
        <v>0</v>
      </c>
      <c r="L1028" s="67">
        <f t="shared" si="524"/>
        <v>0</v>
      </c>
      <c r="M1028" s="67">
        <f t="shared" si="524"/>
        <v>0.48577394213720337</v>
      </c>
      <c r="N1028" s="67">
        <f t="shared" si="524"/>
        <v>0.42129353127432534</v>
      </c>
      <c r="O1028" s="67">
        <f t="shared" si="524"/>
        <v>0.29521814197268731</v>
      </c>
      <c r="P1028" s="67">
        <f t="shared" si="524"/>
        <v>0.1715220888861817</v>
      </c>
    </row>
    <row r="1029" spans="2:16" ht="13" hidden="1" outlineLevel="1" x14ac:dyDescent="0.3">
      <c r="B1029" s="14"/>
      <c r="C1029" s="13" t="s">
        <v>456</v>
      </c>
      <c r="D1029" s="12" t="s">
        <v>41</v>
      </c>
      <c r="E1029" s="12" t="s">
        <v>56</v>
      </c>
      <c r="F1029" s="69">
        <v>55.783951833333347</v>
      </c>
      <c r="G1029" s="14"/>
      <c r="H1029" s="67">
        <f t="shared" ref="H1029:P1029" si="525">+IFERROR(AVERAGEIF(G860:H860,no_cero),0)</f>
        <v>0</v>
      </c>
      <c r="I1029" s="67">
        <f t="shared" si="525"/>
        <v>0</v>
      </c>
      <c r="J1029" s="67">
        <f t="shared" si="525"/>
        <v>0</v>
      </c>
      <c r="K1029" s="67">
        <f t="shared" si="525"/>
        <v>0</v>
      </c>
      <c r="L1029" s="67">
        <f t="shared" si="525"/>
        <v>0</v>
      </c>
      <c r="M1029" s="67">
        <f t="shared" si="525"/>
        <v>0</v>
      </c>
      <c r="N1029" s="67">
        <f t="shared" si="525"/>
        <v>0.20214224173532855</v>
      </c>
      <c r="O1029" s="67">
        <f t="shared" si="525"/>
        <v>0.195470939040394</v>
      </c>
      <c r="P1029" s="67">
        <f t="shared" si="525"/>
        <v>0.18182643996442971</v>
      </c>
    </row>
    <row r="1030" spans="2:16" ht="13" hidden="1" outlineLevel="1" x14ac:dyDescent="0.3">
      <c r="B1030" s="14"/>
      <c r="C1030" s="13" t="s">
        <v>457</v>
      </c>
      <c r="D1030" s="12" t="s">
        <v>41</v>
      </c>
      <c r="E1030" s="12" t="s">
        <v>56</v>
      </c>
      <c r="F1030" s="69">
        <v>1179.8924204999998</v>
      </c>
      <c r="G1030" s="14"/>
      <c r="H1030" s="67">
        <f t="shared" ref="H1030:P1030" si="526">+IFERROR(AVERAGEIF(G861:H861,no_cero),0)</f>
        <v>0</v>
      </c>
      <c r="I1030" s="67">
        <f t="shared" si="526"/>
        <v>0</v>
      </c>
      <c r="J1030" s="67">
        <f t="shared" si="526"/>
        <v>0</v>
      </c>
      <c r="K1030" s="67">
        <f t="shared" si="526"/>
        <v>0</v>
      </c>
      <c r="L1030" s="67">
        <f t="shared" si="526"/>
        <v>0</v>
      </c>
      <c r="M1030" s="67">
        <f t="shared" si="526"/>
        <v>0</v>
      </c>
      <c r="N1030" s="67">
        <f t="shared" si="526"/>
        <v>4.4508652584434625</v>
      </c>
      <c r="O1030" s="67">
        <f t="shared" si="526"/>
        <v>4.2220934303668125</v>
      </c>
      <c r="P1030" s="67">
        <f t="shared" si="526"/>
        <v>3.7579465707910793</v>
      </c>
    </row>
    <row r="1031" spans="2:16" ht="13" hidden="1" outlineLevel="1" x14ac:dyDescent="0.3">
      <c r="B1031" s="14"/>
      <c r="C1031" s="13" t="s">
        <v>458</v>
      </c>
      <c r="D1031" s="12" t="s">
        <v>41</v>
      </c>
      <c r="E1031" s="12" t="s">
        <v>56</v>
      </c>
      <c r="F1031" s="69">
        <v>156.67857142857142</v>
      </c>
      <c r="G1031" s="14"/>
      <c r="H1031" s="67">
        <f t="shared" ref="H1031:P1031" si="527">+IFERROR(AVERAGEIF(G862:H862,no_cero),0)</f>
        <v>0</v>
      </c>
      <c r="I1031" s="67">
        <f t="shared" si="527"/>
        <v>0</v>
      </c>
      <c r="J1031" s="67">
        <f t="shared" si="527"/>
        <v>0</v>
      </c>
      <c r="K1031" s="67">
        <f t="shared" si="527"/>
        <v>0</v>
      </c>
      <c r="L1031" s="67">
        <f t="shared" si="527"/>
        <v>0</v>
      </c>
      <c r="M1031" s="67">
        <f t="shared" si="527"/>
        <v>0</v>
      </c>
      <c r="N1031" s="67">
        <f t="shared" si="527"/>
        <v>0</v>
      </c>
      <c r="O1031" s="67">
        <f t="shared" si="527"/>
        <v>0</v>
      </c>
      <c r="P1031" s="67">
        <f t="shared" si="527"/>
        <v>1.5903984020940893</v>
      </c>
    </row>
    <row r="1032" spans="2:16" ht="13" hidden="1" outlineLevel="1" x14ac:dyDescent="0.3">
      <c r="B1032" s="14"/>
      <c r="C1032" s="13" t="s">
        <v>459</v>
      </c>
      <c r="D1032" s="12" t="s">
        <v>41</v>
      </c>
      <c r="E1032" s="12" t="s">
        <v>56</v>
      </c>
      <c r="F1032" s="69">
        <v>1527.4956523333335</v>
      </c>
      <c r="G1032" s="14"/>
      <c r="H1032" s="67">
        <f t="shared" ref="H1032:P1032" si="528">+IFERROR(AVERAGEIF(G863:H863,no_cero),0)</f>
        <v>0</v>
      </c>
      <c r="I1032" s="67">
        <f t="shared" si="528"/>
        <v>0</v>
      </c>
      <c r="J1032" s="67">
        <f t="shared" si="528"/>
        <v>0</v>
      </c>
      <c r="K1032" s="67">
        <f t="shared" si="528"/>
        <v>0</v>
      </c>
      <c r="L1032" s="67">
        <f t="shared" si="528"/>
        <v>0</v>
      </c>
      <c r="M1032" s="67">
        <f t="shared" si="528"/>
        <v>0</v>
      </c>
      <c r="N1032" s="67">
        <f t="shared" si="528"/>
        <v>0</v>
      </c>
      <c r="O1032" s="67">
        <f t="shared" si="528"/>
        <v>0</v>
      </c>
      <c r="P1032" s="67">
        <f t="shared" si="528"/>
        <v>15.505162081364228</v>
      </c>
    </row>
    <row r="1033" spans="2:16" ht="13" hidden="1" outlineLevel="1" x14ac:dyDescent="0.3">
      <c r="B1033" s="14"/>
      <c r="C1033" s="13" t="s">
        <v>460</v>
      </c>
      <c r="D1033" s="12" t="s">
        <v>41</v>
      </c>
      <c r="E1033" s="12" t="s">
        <v>56</v>
      </c>
      <c r="F1033" s="69">
        <v>550.82194833333335</v>
      </c>
      <c r="G1033" s="14"/>
      <c r="H1033" s="67">
        <f t="shared" ref="H1033:P1033" si="529">+IFERROR(AVERAGEIF(G864:H864,no_cero),0)</f>
        <v>0</v>
      </c>
      <c r="I1033" s="67">
        <f t="shared" si="529"/>
        <v>0</v>
      </c>
      <c r="J1033" s="67">
        <f t="shared" si="529"/>
        <v>0</v>
      </c>
      <c r="K1033" s="67">
        <f t="shared" si="529"/>
        <v>0</v>
      </c>
      <c r="L1033" s="67">
        <f t="shared" si="529"/>
        <v>0</v>
      </c>
      <c r="M1033" s="67">
        <f t="shared" si="529"/>
        <v>0</v>
      </c>
      <c r="N1033" s="67">
        <f t="shared" si="529"/>
        <v>0</v>
      </c>
      <c r="O1033" s="67">
        <f t="shared" si="529"/>
        <v>0</v>
      </c>
      <c r="P1033" s="67">
        <f t="shared" si="529"/>
        <v>5.591232664940784</v>
      </c>
    </row>
    <row r="1034" spans="2:16" ht="13" hidden="1" outlineLevel="1" x14ac:dyDescent="0.3">
      <c r="B1034" s="14"/>
      <c r="C1034" s="13" t="s">
        <v>461</v>
      </c>
      <c r="D1034" s="12" t="s">
        <v>41</v>
      </c>
      <c r="E1034" s="12" t="s">
        <v>56</v>
      </c>
      <c r="F1034" s="69">
        <v>115.53089333333334</v>
      </c>
      <c r="G1034" s="14"/>
      <c r="H1034" s="67">
        <f t="shared" ref="H1034:P1034" si="530">+IFERROR(AVERAGEIF(G865:H865,no_cero),0)</f>
        <v>0</v>
      </c>
      <c r="I1034" s="67">
        <f t="shared" si="530"/>
        <v>0</v>
      </c>
      <c r="J1034" s="67">
        <f t="shared" si="530"/>
        <v>0</v>
      </c>
      <c r="K1034" s="67">
        <f t="shared" si="530"/>
        <v>0</v>
      </c>
      <c r="L1034" s="67">
        <f t="shared" si="530"/>
        <v>0</v>
      </c>
      <c r="M1034" s="67">
        <f t="shared" si="530"/>
        <v>0</v>
      </c>
      <c r="N1034" s="67">
        <f t="shared" si="530"/>
        <v>0</v>
      </c>
      <c r="O1034" s="67">
        <f t="shared" si="530"/>
        <v>0</v>
      </c>
      <c r="P1034" s="67">
        <f t="shared" si="530"/>
        <v>1.1727203437874194</v>
      </c>
    </row>
    <row r="1035" spans="2:16" ht="13" hidden="1" outlineLevel="1" x14ac:dyDescent="0.3">
      <c r="B1035" s="14"/>
      <c r="C1035" s="13" t="s">
        <v>462</v>
      </c>
      <c r="D1035" s="12" t="s">
        <v>41</v>
      </c>
      <c r="E1035" s="12" t="s">
        <v>56</v>
      </c>
      <c r="F1035" s="69">
        <v>7624.4032120297452</v>
      </c>
      <c r="G1035" s="14"/>
      <c r="H1035" s="67">
        <f t="shared" ref="H1035:P1035" si="531">+IFERROR(AVERAGEIF(G866:H866,no_cero),0)</f>
        <v>3.1991111111111109E-2</v>
      </c>
      <c r="I1035" s="67">
        <f t="shared" si="531"/>
        <v>1.3440787184280385</v>
      </c>
      <c r="J1035" s="67">
        <f t="shared" si="531"/>
        <v>15.65668082177479</v>
      </c>
      <c r="K1035" s="67">
        <f t="shared" si="531"/>
        <v>23.711036703229855</v>
      </c>
      <c r="L1035" s="67">
        <f t="shared" si="531"/>
        <v>15.718209240059497</v>
      </c>
      <c r="M1035" s="67">
        <f t="shared" si="531"/>
        <v>10.117108409555422</v>
      </c>
      <c r="N1035" s="67">
        <f t="shared" si="531"/>
        <v>7.5626764276469443</v>
      </c>
      <c r="O1035" s="67">
        <f t="shared" si="531"/>
        <v>0</v>
      </c>
      <c r="P1035" s="67">
        <f t="shared" si="531"/>
        <v>0</v>
      </c>
    </row>
    <row r="1036" spans="2:16" collapsed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0755-1F67-4310-875C-64B36D217C7E}">
  <dimension ref="A1:P361"/>
  <sheetViews>
    <sheetView showGridLines="0" zoomScale="70" zoomScaleNormal="70" workbookViewId="0">
      <pane xSplit="6" ySplit="2" topLeftCell="G159" activePane="bottomRight" state="frozen"/>
      <selection pane="topRight" activeCell="G1" sqref="G1"/>
      <selection pane="bottomLeft" activeCell="A3" sqref="A3"/>
      <selection pane="bottomRight" activeCell="I196" sqref="I196"/>
    </sheetView>
  </sheetViews>
  <sheetFormatPr defaultColWidth="10.75" defaultRowHeight="14" x14ac:dyDescent="0.3"/>
  <cols>
    <col min="1" max="2" width="2.5" customWidth="1"/>
    <col min="3" max="3" width="40.08203125" customWidth="1"/>
    <col min="6" max="6" width="10.75" style="86"/>
    <col min="9" max="9" width="12" bestFit="1" customWidth="1"/>
  </cols>
  <sheetData>
    <row r="1" spans="1:16" x14ac:dyDescent="0.3">
      <c r="A1" s="58"/>
      <c r="B1" s="58"/>
      <c r="C1" s="58"/>
      <c r="D1" s="59"/>
      <c r="E1" s="59"/>
      <c r="F1" s="59"/>
      <c r="G1" s="60">
        <v>2010</v>
      </c>
      <c r="H1" s="60">
        <v>2011</v>
      </c>
      <c r="I1" s="60">
        <f>+H1+1</f>
        <v>2012</v>
      </c>
      <c r="J1" s="60">
        <f t="shared" ref="J1:P1" si="0">+I1+1</f>
        <v>2013</v>
      </c>
      <c r="K1" s="60">
        <f t="shared" si="0"/>
        <v>2014</v>
      </c>
      <c r="L1" s="60">
        <f t="shared" si="0"/>
        <v>2015</v>
      </c>
      <c r="M1" s="60">
        <f t="shared" si="0"/>
        <v>2016</v>
      </c>
      <c r="N1" s="60">
        <f t="shared" si="0"/>
        <v>2017</v>
      </c>
      <c r="O1" s="60">
        <f t="shared" si="0"/>
        <v>2018</v>
      </c>
      <c r="P1" s="60">
        <f t="shared" si="0"/>
        <v>2019</v>
      </c>
    </row>
    <row r="2" spans="1:16" x14ac:dyDescent="0.3">
      <c r="A2" s="58"/>
      <c r="B2" s="61"/>
      <c r="C2" s="61"/>
      <c r="D2" s="62" t="s">
        <v>2</v>
      </c>
      <c r="E2" s="62" t="s">
        <v>30</v>
      </c>
      <c r="F2" s="62" t="s">
        <v>0</v>
      </c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x14ac:dyDescent="0.3">
      <c r="A3" s="4"/>
      <c r="B3" s="4"/>
      <c r="C3" s="4"/>
      <c r="D3" s="4"/>
      <c r="E3" s="4"/>
      <c r="F3" s="6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/>
      <c r="B4" s="3" t="s">
        <v>134</v>
      </c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4"/>
      <c r="B5" s="4"/>
      <c r="C5" s="4"/>
      <c r="D5" s="4"/>
      <c r="E5" s="4"/>
      <c r="F5" s="6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/>
      <c r="B6" s="7" t="s">
        <v>71</v>
      </c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/>
      <c r="B7" s="4"/>
      <c r="C7" s="4" t="s">
        <v>71</v>
      </c>
      <c r="D7" s="6" t="s">
        <v>41</v>
      </c>
      <c r="E7" s="6" t="s">
        <v>39</v>
      </c>
      <c r="F7" s="6" t="s">
        <v>40</v>
      </c>
      <c r="G7" s="4"/>
      <c r="H7" s="83">
        <f>+WACC!F37</f>
        <v>9.9016410769230775E-2</v>
      </c>
      <c r="I7" s="83">
        <f>+WACC!G37</f>
        <v>9.3587554022988503E-2</v>
      </c>
      <c r="J7" s="83">
        <f>+WACC!H37</f>
        <v>0.10025867891762177</v>
      </c>
      <c r="K7" s="83">
        <f>+WACC!I37</f>
        <v>9.8229628352759363E-2</v>
      </c>
      <c r="L7" s="83">
        <f>+WACC!J37</f>
        <v>9.5480453778051699E-2</v>
      </c>
      <c r="M7" s="83">
        <f>+WACC!K37</f>
        <v>9.4703621653939085E-2</v>
      </c>
      <c r="N7" s="83">
        <f>+WACC!L37</f>
        <v>9.4781901722775383E-2</v>
      </c>
      <c r="O7" s="83">
        <f>+WACC!M37</f>
        <v>9.5387563794905789E-2</v>
      </c>
      <c r="P7" s="83">
        <f>+WACC!N37</f>
        <v>9.513003763804305E-2</v>
      </c>
    </row>
    <row r="8" spans="1:16" x14ac:dyDescent="0.3">
      <c r="A8" s="4"/>
      <c r="B8" s="4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3" t="s">
        <v>126</v>
      </c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4"/>
      <c r="B10" s="4"/>
      <c r="C10" s="4"/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4.25" customHeight="1" x14ac:dyDescent="0.3">
      <c r="A11" s="4"/>
      <c r="B11" s="7" t="s">
        <v>467</v>
      </c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4.25" customHeight="1" x14ac:dyDescent="0.3">
      <c r="A12" s="4"/>
      <c r="B12" s="4"/>
      <c r="C12" s="4" t="s">
        <v>468</v>
      </c>
      <c r="D12" s="6" t="s">
        <v>322</v>
      </c>
      <c r="E12" s="6" t="s">
        <v>39</v>
      </c>
      <c r="F12" s="102">
        <v>3.3333333333333333E-2</v>
      </c>
      <c r="G12" s="4"/>
      <c r="H12" s="34">
        <f t="shared" ref="H12:H13" si="1">+F12</f>
        <v>3.3333333333333333E-2</v>
      </c>
      <c r="I12" s="34">
        <f t="shared" ref="I12:P12" si="2">+H12</f>
        <v>3.3333333333333333E-2</v>
      </c>
      <c r="J12" s="34">
        <f t="shared" si="2"/>
        <v>3.3333333333333333E-2</v>
      </c>
      <c r="K12" s="34">
        <f t="shared" si="2"/>
        <v>3.3333333333333333E-2</v>
      </c>
      <c r="L12" s="34">
        <f t="shared" si="2"/>
        <v>3.3333333333333333E-2</v>
      </c>
      <c r="M12" s="34">
        <f t="shared" si="2"/>
        <v>3.3333333333333333E-2</v>
      </c>
      <c r="N12" s="34">
        <f t="shared" si="2"/>
        <v>3.3333333333333333E-2</v>
      </c>
      <c r="O12" s="34">
        <f t="shared" si="2"/>
        <v>3.3333333333333333E-2</v>
      </c>
      <c r="P12" s="34">
        <f t="shared" si="2"/>
        <v>3.3333333333333333E-2</v>
      </c>
    </row>
    <row r="13" spans="1:16" ht="14.25" customHeight="1" x14ac:dyDescent="0.3">
      <c r="A13" s="4"/>
      <c r="B13" s="4"/>
      <c r="C13" s="4" t="s">
        <v>64</v>
      </c>
      <c r="D13" s="6" t="s">
        <v>322</v>
      </c>
      <c r="E13" s="6" t="s">
        <v>39</v>
      </c>
      <c r="F13" s="102">
        <v>0.1</v>
      </c>
      <c r="G13" s="4"/>
      <c r="H13" s="34">
        <f t="shared" si="1"/>
        <v>0.1</v>
      </c>
      <c r="I13" s="34">
        <f t="shared" ref="I13:P13" si="3">+H13</f>
        <v>0.1</v>
      </c>
      <c r="J13" s="34">
        <f t="shared" si="3"/>
        <v>0.1</v>
      </c>
      <c r="K13" s="34">
        <f t="shared" si="3"/>
        <v>0.1</v>
      </c>
      <c r="L13" s="34">
        <f t="shared" si="3"/>
        <v>0.1</v>
      </c>
      <c r="M13" s="34">
        <f t="shared" si="3"/>
        <v>0.1</v>
      </c>
      <c r="N13" s="34">
        <f t="shared" si="3"/>
        <v>0.1</v>
      </c>
      <c r="O13" s="34">
        <f t="shared" si="3"/>
        <v>0.1</v>
      </c>
      <c r="P13" s="34">
        <f t="shared" si="3"/>
        <v>0.1</v>
      </c>
    </row>
    <row r="14" spans="1:16" ht="14.25" customHeight="1" collapsed="1" x14ac:dyDescent="0.3">
      <c r="A14" s="4"/>
      <c r="B14" s="4"/>
      <c r="C14" s="4"/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4.25" customHeight="1" x14ac:dyDescent="0.3">
      <c r="A15" s="4"/>
      <c r="B15" s="7" t="s">
        <v>324</v>
      </c>
      <c r="C15" s="4"/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4.25" customHeight="1" x14ac:dyDescent="0.3">
      <c r="A16" s="4"/>
      <c r="B16" s="4"/>
      <c r="C16" s="4" t="s">
        <v>317</v>
      </c>
      <c r="D16" s="6" t="s">
        <v>322</v>
      </c>
      <c r="E16" s="6" t="s">
        <v>39</v>
      </c>
      <c r="F16" s="102">
        <v>0.14285714285714285</v>
      </c>
      <c r="G16" s="4"/>
      <c r="H16" s="34">
        <f>+F16</f>
        <v>0.14285714285714285</v>
      </c>
      <c r="I16" s="34">
        <f>+H16</f>
        <v>0.14285714285714285</v>
      </c>
      <c r="J16" s="34">
        <f t="shared" ref="J16:P16" si="4">+I16</f>
        <v>0.14285714285714285</v>
      </c>
      <c r="K16" s="34">
        <f t="shared" si="4"/>
        <v>0.14285714285714285</v>
      </c>
      <c r="L16" s="34">
        <f t="shared" si="4"/>
        <v>0.14285714285714285</v>
      </c>
      <c r="M16" s="34">
        <f t="shared" si="4"/>
        <v>0.14285714285714285</v>
      </c>
      <c r="N16" s="34">
        <f t="shared" si="4"/>
        <v>0.14285714285714285</v>
      </c>
      <c r="O16" s="34">
        <f t="shared" si="4"/>
        <v>0.14285714285714285</v>
      </c>
      <c r="P16" s="34">
        <f t="shared" si="4"/>
        <v>0.14285714285714285</v>
      </c>
    </row>
    <row r="17" spans="1:16" ht="14.25" customHeight="1" x14ac:dyDescent="0.3">
      <c r="A17" s="4"/>
      <c r="B17" s="4"/>
      <c r="C17" s="4" t="s">
        <v>318</v>
      </c>
      <c r="D17" s="6" t="s">
        <v>322</v>
      </c>
      <c r="E17" s="6" t="s">
        <v>39</v>
      </c>
      <c r="F17" s="102">
        <v>3.3333333333333333E-2</v>
      </c>
      <c r="G17" s="4"/>
      <c r="H17" s="34">
        <f t="shared" ref="H17:H19" si="5">+F17</f>
        <v>3.3333333333333333E-2</v>
      </c>
      <c r="I17" s="34">
        <f t="shared" ref="I17:P17" si="6">+H17</f>
        <v>3.3333333333333333E-2</v>
      </c>
      <c r="J17" s="34">
        <f t="shared" si="6"/>
        <v>3.3333333333333333E-2</v>
      </c>
      <c r="K17" s="34">
        <f t="shared" si="6"/>
        <v>3.3333333333333333E-2</v>
      </c>
      <c r="L17" s="34">
        <f t="shared" si="6"/>
        <v>3.3333333333333333E-2</v>
      </c>
      <c r="M17" s="34">
        <f t="shared" si="6"/>
        <v>3.3333333333333333E-2</v>
      </c>
      <c r="N17" s="34">
        <f t="shared" si="6"/>
        <v>3.3333333333333333E-2</v>
      </c>
      <c r="O17" s="34">
        <f t="shared" si="6"/>
        <v>3.3333333333333333E-2</v>
      </c>
      <c r="P17" s="34">
        <f t="shared" si="6"/>
        <v>3.3333333333333333E-2</v>
      </c>
    </row>
    <row r="18" spans="1:16" ht="14.25" customHeight="1" x14ac:dyDescent="0.3">
      <c r="A18" s="4"/>
      <c r="B18" s="4"/>
      <c r="C18" s="4" t="s">
        <v>319</v>
      </c>
      <c r="D18" s="6" t="s">
        <v>322</v>
      </c>
      <c r="E18" s="6" t="s">
        <v>39</v>
      </c>
      <c r="F18" s="102">
        <v>3.574926542605289E-2</v>
      </c>
      <c r="G18" s="4"/>
      <c r="H18" s="34">
        <f t="shared" si="5"/>
        <v>3.574926542605289E-2</v>
      </c>
      <c r="I18" s="34">
        <f t="shared" ref="I18:P18" si="7">+H18</f>
        <v>3.574926542605289E-2</v>
      </c>
      <c r="J18" s="34">
        <f t="shared" si="7"/>
        <v>3.574926542605289E-2</v>
      </c>
      <c r="K18" s="34">
        <f t="shared" si="7"/>
        <v>3.574926542605289E-2</v>
      </c>
      <c r="L18" s="34">
        <f t="shared" si="7"/>
        <v>3.574926542605289E-2</v>
      </c>
      <c r="M18" s="34">
        <f t="shared" si="7"/>
        <v>3.574926542605289E-2</v>
      </c>
      <c r="N18" s="34">
        <f t="shared" si="7"/>
        <v>3.574926542605289E-2</v>
      </c>
      <c r="O18" s="34">
        <f t="shared" si="7"/>
        <v>3.574926542605289E-2</v>
      </c>
      <c r="P18" s="34">
        <f t="shared" si="7"/>
        <v>3.574926542605289E-2</v>
      </c>
    </row>
    <row r="19" spans="1:16" ht="14.25" customHeight="1" x14ac:dyDescent="0.3">
      <c r="A19" s="4"/>
      <c r="B19" s="4"/>
      <c r="C19" s="4" t="s">
        <v>321</v>
      </c>
      <c r="D19" s="6" t="s">
        <v>322</v>
      </c>
      <c r="E19" s="6" t="s">
        <v>39</v>
      </c>
      <c r="F19" s="102">
        <v>0.14285714285714285</v>
      </c>
      <c r="G19" s="4"/>
      <c r="H19" s="34">
        <f t="shared" si="5"/>
        <v>0.14285714285714285</v>
      </c>
      <c r="I19" s="34">
        <f t="shared" ref="I19:P19" si="8">+H19</f>
        <v>0.14285714285714285</v>
      </c>
      <c r="J19" s="34">
        <f t="shared" si="8"/>
        <v>0.14285714285714285</v>
      </c>
      <c r="K19" s="34">
        <f t="shared" si="8"/>
        <v>0.14285714285714285</v>
      </c>
      <c r="L19" s="34">
        <f t="shared" si="8"/>
        <v>0.14285714285714285</v>
      </c>
      <c r="M19" s="34">
        <f t="shared" si="8"/>
        <v>0.14285714285714285</v>
      </c>
      <c r="N19" s="34">
        <f t="shared" si="8"/>
        <v>0.14285714285714285</v>
      </c>
      <c r="O19" s="34">
        <f t="shared" si="8"/>
        <v>0.14285714285714285</v>
      </c>
      <c r="P19" s="34">
        <f t="shared" si="8"/>
        <v>0.14285714285714285</v>
      </c>
    </row>
    <row r="20" spans="1:16" ht="14.25" customHeight="1" x14ac:dyDescent="0.3">
      <c r="A20" s="4"/>
      <c r="B20" s="4"/>
      <c r="C20" s="223" t="s">
        <v>344</v>
      </c>
      <c r="D20" s="254" t="s">
        <v>322</v>
      </c>
      <c r="E20" s="254" t="s">
        <v>39</v>
      </c>
      <c r="F20" s="266">
        <v>0.11816585703335362</v>
      </c>
      <c r="G20" s="223"/>
      <c r="H20" s="263">
        <f>+F20</f>
        <v>0.11816585703335362</v>
      </c>
      <c r="I20" s="263">
        <f>+H20</f>
        <v>0.11816585703335362</v>
      </c>
      <c r="J20" s="263">
        <f t="shared" ref="J20:P20" si="9">+I20</f>
        <v>0.11816585703335362</v>
      </c>
      <c r="K20" s="263">
        <f t="shared" si="9"/>
        <v>0.11816585703335362</v>
      </c>
      <c r="L20" s="263">
        <f t="shared" si="9"/>
        <v>0.11816585703335362</v>
      </c>
      <c r="M20" s="263">
        <f t="shared" si="9"/>
        <v>0.11816585703335362</v>
      </c>
      <c r="N20" s="263">
        <f t="shared" si="9"/>
        <v>0.11816585703335362</v>
      </c>
      <c r="O20" s="263">
        <f t="shared" si="9"/>
        <v>0.11816585703335362</v>
      </c>
      <c r="P20" s="263">
        <f t="shared" si="9"/>
        <v>0.11816585703335362</v>
      </c>
    </row>
    <row r="21" spans="1:16" ht="14.25" customHeight="1" x14ac:dyDescent="0.3">
      <c r="A21" s="4"/>
      <c r="B21" s="4"/>
      <c r="C21" s="223" t="s">
        <v>345</v>
      </c>
      <c r="D21" s="254" t="s">
        <v>322</v>
      </c>
      <c r="E21" s="254" t="s">
        <v>39</v>
      </c>
      <c r="F21" s="266">
        <v>0.11232540507516374</v>
      </c>
      <c r="G21" s="223"/>
      <c r="H21" s="263">
        <f>+F21</f>
        <v>0.11232540507516374</v>
      </c>
      <c r="I21" s="263">
        <f t="shared" ref="I21:P21" si="10">+H21</f>
        <v>0.11232540507516374</v>
      </c>
      <c r="J21" s="263">
        <f t="shared" si="10"/>
        <v>0.11232540507516374</v>
      </c>
      <c r="K21" s="263">
        <f t="shared" si="10"/>
        <v>0.11232540507516374</v>
      </c>
      <c r="L21" s="263">
        <f t="shared" si="10"/>
        <v>0.11232540507516374</v>
      </c>
      <c r="M21" s="263">
        <f t="shared" si="10"/>
        <v>0.11232540507516374</v>
      </c>
      <c r="N21" s="263">
        <f t="shared" si="10"/>
        <v>0.11232540507516374</v>
      </c>
      <c r="O21" s="263">
        <f t="shared" si="10"/>
        <v>0.11232540507516374</v>
      </c>
      <c r="P21" s="263">
        <f t="shared" si="10"/>
        <v>0.11232540507516374</v>
      </c>
    </row>
    <row r="22" spans="1:16" ht="14.25" customHeight="1" x14ac:dyDescent="0.3">
      <c r="A22" s="4"/>
      <c r="B22" s="4"/>
      <c r="C22" s="223" t="s">
        <v>346</v>
      </c>
      <c r="D22" s="254" t="s">
        <v>322</v>
      </c>
      <c r="E22" s="254" t="s">
        <v>39</v>
      </c>
      <c r="F22" s="266">
        <v>0.33333333333333337</v>
      </c>
      <c r="G22" s="223"/>
      <c r="H22" s="263">
        <f t="shared" ref="H22:H23" si="11">+F22</f>
        <v>0.33333333333333337</v>
      </c>
      <c r="I22" s="263">
        <f t="shared" ref="I22:P22" si="12">+H22</f>
        <v>0.33333333333333337</v>
      </c>
      <c r="J22" s="263">
        <f t="shared" si="12"/>
        <v>0.33333333333333337</v>
      </c>
      <c r="K22" s="263">
        <f t="shared" si="12"/>
        <v>0.33333333333333337</v>
      </c>
      <c r="L22" s="263">
        <f t="shared" si="12"/>
        <v>0.33333333333333337</v>
      </c>
      <c r="M22" s="263">
        <f t="shared" si="12"/>
        <v>0.33333333333333337</v>
      </c>
      <c r="N22" s="263">
        <f t="shared" si="12"/>
        <v>0.33333333333333337</v>
      </c>
      <c r="O22" s="263">
        <f t="shared" si="12"/>
        <v>0.33333333333333337</v>
      </c>
      <c r="P22" s="263">
        <f t="shared" si="12"/>
        <v>0.33333333333333337</v>
      </c>
    </row>
    <row r="23" spans="1:16" ht="14.25" customHeight="1" x14ac:dyDescent="0.3">
      <c r="A23" s="4"/>
      <c r="B23" s="4"/>
      <c r="C23" s="223" t="s">
        <v>347</v>
      </c>
      <c r="D23" s="254" t="s">
        <v>322</v>
      </c>
      <c r="E23" s="254" t="s">
        <v>39</v>
      </c>
      <c r="F23" s="266">
        <v>7.7108990004528824E-2</v>
      </c>
      <c r="G23" s="223"/>
      <c r="H23" s="263">
        <f t="shared" si="11"/>
        <v>7.7108990004528824E-2</v>
      </c>
      <c r="I23" s="263">
        <f t="shared" ref="I23:P23" si="13">+H23</f>
        <v>7.7108990004528824E-2</v>
      </c>
      <c r="J23" s="263">
        <f t="shared" si="13"/>
        <v>7.7108990004528824E-2</v>
      </c>
      <c r="K23" s="263">
        <f t="shared" si="13"/>
        <v>7.7108990004528824E-2</v>
      </c>
      <c r="L23" s="263">
        <f t="shared" si="13"/>
        <v>7.7108990004528824E-2</v>
      </c>
      <c r="M23" s="263">
        <f t="shared" si="13"/>
        <v>7.7108990004528824E-2</v>
      </c>
      <c r="N23" s="263">
        <f t="shared" si="13"/>
        <v>7.7108990004528824E-2</v>
      </c>
      <c r="O23" s="263">
        <f t="shared" si="13"/>
        <v>7.7108990004528824E-2</v>
      </c>
      <c r="P23" s="263">
        <f t="shared" si="13"/>
        <v>7.7108990004528824E-2</v>
      </c>
    </row>
    <row r="24" spans="1:16" ht="14.25" customHeight="1" collapsed="1" x14ac:dyDescent="0.3">
      <c r="A24" s="4"/>
      <c r="B24" s="4"/>
      <c r="C24" s="4"/>
      <c r="D24" s="6"/>
      <c r="E24" s="6"/>
      <c r="F24" s="252"/>
      <c r="G24" s="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4.25" customHeight="1" x14ac:dyDescent="0.3">
      <c r="A25" s="4"/>
      <c r="B25" s="7" t="s">
        <v>320</v>
      </c>
      <c r="C25" s="71"/>
      <c r="D25" s="76"/>
      <c r="E25" s="76"/>
      <c r="F25" s="252"/>
      <c r="G25" s="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4.25" customHeight="1" x14ac:dyDescent="0.3">
      <c r="A26" s="4"/>
      <c r="B26" s="4"/>
      <c r="C26" s="71" t="s">
        <v>323</v>
      </c>
      <c r="D26" s="6" t="s">
        <v>322</v>
      </c>
      <c r="E26" s="6" t="s">
        <v>39</v>
      </c>
      <c r="F26" s="102">
        <v>0.14285714285714285</v>
      </c>
      <c r="G26" s="4"/>
      <c r="H26" s="34">
        <f t="shared" ref="H26" si="14">+F26</f>
        <v>0.14285714285714285</v>
      </c>
      <c r="I26" s="34">
        <f t="shared" ref="I26:P26" si="15">+H26</f>
        <v>0.14285714285714285</v>
      </c>
      <c r="J26" s="34">
        <f t="shared" si="15"/>
        <v>0.14285714285714285</v>
      </c>
      <c r="K26" s="34">
        <f t="shared" si="15"/>
        <v>0.14285714285714285</v>
      </c>
      <c r="L26" s="34">
        <f t="shared" si="15"/>
        <v>0.14285714285714285</v>
      </c>
      <c r="M26" s="34">
        <f t="shared" si="15"/>
        <v>0.14285714285714285</v>
      </c>
      <c r="N26" s="34">
        <f t="shared" si="15"/>
        <v>0.14285714285714285</v>
      </c>
      <c r="O26" s="34">
        <f t="shared" si="15"/>
        <v>0.14285714285714285</v>
      </c>
      <c r="P26" s="34">
        <f t="shared" si="15"/>
        <v>0.14285714285714285</v>
      </c>
    </row>
    <row r="27" spans="1:16" ht="14.25" customHeight="1" x14ac:dyDescent="0.3">
      <c r="A27" s="4"/>
      <c r="B27" s="4"/>
      <c r="C27" s="4" t="s">
        <v>326</v>
      </c>
      <c r="D27" s="6" t="s">
        <v>322</v>
      </c>
      <c r="E27" s="6" t="s">
        <v>39</v>
      </c>
      <c r="F27" s="102">
        <v>0.2</v>
      </c>
      <c r="G27" s="4"/>
      <c r="H27" s="34">
        <f t="shared" ref="H27:H31" si="16">+F27</f>
        <v>0.2</v>
      </c>
      <c r="I27" s="34">
        <f t="shared" ref="I27:P27" si="17">+H27</f>
        <v>0.2</v>
      </c>
      <c r="J27" s="34">
        <f t="shared" si="17"/>
        <v>0.2</v>
      </c>
      <c r="K27" s="34">
        <f t="shared" si="17"/>
        <v>0.2</v>
      </c>
      <c r="L27" s="34">
        <f t="shared" si="17"/>
        <v>0.2</v>
      </c>
      <c r="M27" s="34">
        <f t="shared" si="17"/>
        <v>0.2</v>
      </c>
      <c r="N27" s="34">
        <f t="shared" si="17"/>
        <v>0.2</v>
      </c>
      <c r="O27" s="34">
        <f t="shared" si="17"/>
        <v>0.2</v>
      </c>
      <c r="P27" s="34">
        <f t="shared" si="17"/>
        <v>0.2</v>
      </c>
    </row>
    <row r="28" spans="1:16" ht="14.25" customHeight="1" x14ac:dyDescent="0.3">
      <c r="A28" s="4"/>
      <c r="B28" s="4"/>
      <c r="C28" s="4" t="s">
        <v>327</v>
      </c>
      <c r="D28" s="6" t="s">
        <v>322</v>
      </c>
      <c r="E28" s="6" t="s">
        <v>39</v>
      </c>
      <c r="F28" s="102">
        <v>0.2</v>
      </c>
      <c r="G28" s="4"/>
      <c r="H28" s="34">
        <f t="shared" si="16"/>
        <v>0.2</v>
      </c>
      <c r="I28" s="34">
        <f t="shared" ref="I28:P28" si="18">+H28</f>
        <v>0.2</v>
      </c>
      <c r="J28" s="34">
        <f t="shared" si="18"/>
        <v>0.2</v>
      </c>
      <c r="K28" s="34">
        <f t="shared" si="18"/>
        <v>0.2</v>
      </c>
      <c r="L28" s="34">
        <f t="shared" si="18"/>
        <v>0.2</v>
      </c>
      <c r="M28" s="34">
        <f t="shared" si="18"/>
        <v>0.2</v>
      </c>
      <c r="N28" s="34">
        <f t="shared" si="18"/>
        <v>0.2</v>
      </c>
      <c r="O28" s="34">
        <f t="shared" si="18"/>
        <v>0.2</v>
      </c>
      <c r="P28" s="34">
        <f t="shared" si="18"/>
        <v>0.2</v>
      </c>
    </row>
    <row r="29" spans="1:16" ht="14.25" customHeight="1" x14ac:dyDescent="0.3">
      <c r="A29" s="4"/>
      <c r="B29" s="4"/>
      <c r="C29" s="4" t="s">
        <v>328</v>
      </c>
      <c r="D29" s="6" t="s">
        <v>322</v>
      </c>
      <c r="E29" s="6" t="s">
        <v>39</v>
      </c>
      <c r="F29" s="102">
        <v>0.2</v>
      </c>
      <c r="G29" s="4"/>
      <c r="H29" s="34">
        <f t="shared" si="16"/>
        <v>0.2</v>
      </c>
      <c r="I29" s="34">
        <f t="shared" ref="I29:P29" si="19">+H29</f>
        <v>0.2</v>
      </c>
      <c r="J29" s="34">
        <f t="shared" si="19"/>
        <v>0.2</v>
      </c>
      <c r="K29" s="34">
        <f t="shared" si="19"/>
        <v>0.2</v>
      </c>
      <c r="L29" s="34">
        <f t="shared" si="19"/>
        <v>0.2</v>
      </c>
      <c r="M29" s="34">
        <f t="shared" si="19"/>
        <v>0.2</v>
      </c>
      <c r="N29" s="34">
        <f t="shared" si="19"/>
        <v>0.2</v>
      </c>
      <c r="O29" s="34">
        <f t="shared" si="19"/>
        <v>0.2</v>
      </c>
      <c r="P29" s="34">
        <f t="shared" si="19"/>
        <v>0.2</v>
      </c>
    </row>
    <row r="30" spans="1:16" ht="14.25" customHeight="1" x14ac:dyDescent="0.3">
      <c r="A30" s="4"/>
      <c r="B30" s="4"/>
      <c r="C30" s="4" t="s">
        <v>329</v>
      </c>
      <c r="D30" s="6" t="s">
        <v>322</v>
      </c>
      <c r="E30" s="6" t="s">
        <v>39</v>
      </c>
      <c r="F30" s="102">
        <v>0.2</v>
      </c>
      <c r="G30" s="4"/>
      <c r="H30" s="34">
        <f t="shared" si="16"/>
        <v>0.2</v>
      </c>
      <c r="I30" s="34">
        <f t="shared" ref="I30:P32" si="20">+H30</f>
        <v>0.2</v>
      </c>
      <c r="J30" s="34">
        <f t="shared" si="20"/>
        <v>0.2</v>
      </c>
      <c r="K30" s="34">
        <f t="shared" si="20"/>
        <v>0.2</v>
      </c>
      <c r="L30" s="34">
        <f t="shared" si="20"/>
        <v>0.2</v>
      </c>
      <c r="M30" s="34">
        <f t="shared" si="20"/>
        <v>0.2</v>
      </c>
      <c r="N30" s="34">
        <f t="shared" si="20"/>
        <v>0.2</v>
      </c>
      <c r="O30" s="34">
        <f t="shared" si="20"/>
        <v>0.2</v>
      </c>
      <c r="P30" s="34">
        <f t="shared" si="20"/>
        <v>0.2</v>
      </c>
    </row>
    <row r="31" spans="1:16" ht="14.25" customHeight="1" x14ac:dyDescent="0.3">
      <c r="A31" s="4"/>
      <c r="B31" s="4"/>
      <c r="C31" s="4" t="s">
        <v>330</v>
      </c>
      <c r="D31" s="6" t="s">
        <v>322</v>
      </c>
      <c r="E31" s="6" t="s">
        <v>39</v>
      </c>
      <c r="F31" s="102">
        <v>0.2</v>
      </c>
      <c r="G31" s="4"/>
      <c r="H31" s="34">
        <f t="shared" si="16"/>
        <v>0.2</v>
      </c>
      <c r="I31" s="34">
        <f t="shared" si="20"/>
        <v>0.2</v>
      </c>
      <c r="J31" s="34">
        <f t="shared" si="20"/>
        <v>0.2</v>
      </c>
      <c r="K31" s="34">
        <f t="shared" si="20"/>
        <v>0.2</v>
      </c>
      <c r="L31" s="34">
        <f t="shared" si="20"/>
        <v>0.2</v>
      </c>
      <c r="M31" s="34">
        <f t="shared" si="20"/>
        <v>0.2</v>
      </c>
      <c r="N31" s="34">
        <f t="shared" si="20"/>
        <v>0.2</v>
      </c>
      <c r="O31" s="34">
        <f t="shared" si="20"/>
        <v>0.2</v>
      </c>
      <c r="P31" s="34">
        <f t="shared" si="20"/>
        <v>0.2</v>
      </c>
    </row>
    <row r="32" spans="1:16" ht="14.25" customHeight="1" x14ac:dyDescent="0.3">
      <c r="A32" s="4"/>
      <c r="B32" s="4"/>
      <c r="C32" s="4" t="s">
        <v>63</v>
      </c>
      <c r="D32" s="6" t="s">
        <v>322</v>
      </c>
      <c r="E32" s="6" t="s">
        <v>39</v>
      </c>
      <c r="F32" s="102">
        <v>0.33333333333333331</v>
      </c>
      <c r="G32" s="4"/>
      <c r="H32" s="34">
        <f t="shared" ref="H32" si="21">+F32</f>
        <v>0.33333333333333331</v>
      </c>
      <c r="I32" s="34">
        <f t="shared" si="20"/>
        <v>0.33333333333333331</v>
      </c>
      <c r="J32" s="34">
        <f t="shared" si="20"/>
        <v>0.33333333333333331</v>
      </c>
      <c r="K32" s="34">
        <f t="shared" si="20"/>
        <v>0.33333333333333331</v>
      </c>
      <c r="L32" s="34">
        <f t="shared" si="20"/>
        <v>0.33333333333333331</v>
      </c>
      <c r="M32" s="34">
        <f t="shared" si="20"/>
        <v>0.33333333333333331</v>
      </c>
      <c r="N32" s="34">
        <f t="shared" si="20"/>
        <v>0.33333333333333331</v>
      </c>
      <c r="O32" s="34">
        <f t="shared" si="20"/>
        <v>0.33333333333333331</v>
      </c>
      <c r="P32" s="34">
        <f t="shared" si="20"/>
        <v>0.33333333333333331</v>
      </c>
    </row>
    <row r="33" spans="1:16" ht="14.25" customHeight="1" x14ac:dyDescent="0.3">
      <c r="A33" s="4"/>
      <c r="B33" s="4"/>
      <c r="C33" s="4" t="s">
        <v>331</v>
      </c>
      <c r="D33" s="6" t="s">
        <v>322</v>
      </c>
      <c r="E33" s="6" t="s">
        <v>39</v>
      </c>
      <c r="F33" s="102">
        <v>0.14285714285714285</v>
      </c>
      <c r="G33" s="4"/>
      <c r="H33" s="34">
        <f t="shared" ref="H33:H37" si="22">+F33</f>
        <v>0.14285714285714285</v>
      </c>
      <c r="I33" s="34">
        <f t="shared" ref="I33:P33" si="23">+H33</f>
        <v>0.14285714285714285</v>
      </c>
      <c r="J33" s="34">
        <f t="shared" si="23"/>
        <v>0.14285714285714285</v>
      </c>
      <c r="K33" s="34">
        <f t="shared" si="23"/>
        <v>0.14285714285714285</v>
      </c>
      <c r="L33" s="34">
        <f t="shared" si="23"/>
        <v>0.14285714285714285</v>
      </c>
      <c r="M33" s="34">
        <f t="shared" si="23"/>
        <v>0.14285714285714285</v>
      </c>
      <c r="N33" s="34">
        <f t="shared" si="23"/>
        <v>0.14285714285714285</v>
      </c>
      <c r="O33" s="34">
        <f t="shared" si="23"/>
        <v>0.14285714285714285</v>
      </c>
      <c r="P33" s="34">
        <f t="shared" si="23"/>
        <v>0.14285714285714285</v>
      </c>
    </row>
    <row r="34" spans="1:16" ht="14.25" customHeight="1" x14ac:dyDescent="0.3">
      <c r="A34" s="4"/>
      <c r="B34" s="4"/>
      <c r="C34" s="4" t="s">
        <v>332</v>
      </c>
      <c r="D34" s="6" t="s">
        <v>322</v>
      </c>
      <c r="E34" s="6" t="s">
        <v>39</v>
      </c>
      <c r="F34" s="102">
        <v>0.33333333333333331</v>
      </c>
      <c r="G34" s="4"/>
      <c r="H34" s="34">
        <f t="shared" si="22"/>
        <v>0.33333333333333331</v>
      </c>
      <c r="I34" s="34">
        <f t="shared" ref="I34:P34" si="24">+H34</f>
        <v>0.33333333333333331</v>
      </c>
      <c r="J34" s="34">
        <f t="shared" si="24"/>
        <v>0.33333333333333331</v>
      </c>
      <c r="K34" s="34">
        <f t="shared" si="24"/>
        <v>0.33333333333333331</v>
      </c>
      <c r="L34" s="34">
        <f t="shared" si="24"/>
        <v>0.33333333333333331</v>
      </c>
      <c r="M34" s="34">
        <f t="shared" si="24"/>
        <v>0.33333333333333331</v>
      </c>
      <c r="N34" s="34">
        <f t="shared" si="24"/>
        <v>0.33333333333333331</v>
      </c>
      <c r="O34" s="34">
        <f t="shared" si="24"/>
        <v>0.33333333333333331</v>
      </c>
      <c r="P34" s="34">
        <f t="shared" si="24"/>
        <v>0.33333333333333331</v>
      </c>
    </row>
    <row r="35" spans="1:16" ht="14.25" customHeight="1" x14ac:dyDescent="0.3">
      <c r="A35" s="4"/>
      <c r="B35" s="4"/>
      <c r="C35" s="4" t="s">
        <v>333</v>
      </c>
      <c r="D35" s="6" t="s">
        <v>322</v>
      </c>
      <c r="E35" s="6" t="s">
        <v>39</v>
      </c>
      <c r="F35" s="102">
        <v>0.33333333333333331</v>
      </c>
      <c r="G35" s="4"/>
      <c r="H35" s="34">
        <f t="shared" si="22"/>
        <v>0.33333333333333331</v>
      </c>
      <c r="I35" s="34">
        <f t="shared" ref="I35:P35" si="25">+H35</f>
        <v>0.33333333333333331</v>
      </c>
      <c r="J35" s="34">
        <f t="shared" si="25"/>
        <v>0.33333333333333331</v>
      </c>
      <c r="K35" s="34">
        <f t="shared" si="25"/>
        <v>0.33333333333333331</v>
      </c>
      <c r="L35" s="34">
        <f t="shared" si="25"/>
        <v>0.33333333333333331</v>
      </c>
      <c r="M35" s="34">
        <f t="shared" si="25"/>
        <v>0.33333333333333331</v>
      </c>
      <c r="N35" s="34">
        <f t="shared" si="25"/>
        <v>0.33333333333333331</v>
      </c>
      <c r="O35" s="34">
        <f t="shared" si="25"/>
        <v>0.33333333333333331</v>
      </c>
      <c r="P35" s="34">
        <f t="shared" si="25"/>
        <v>0.33333333333333331</v>
      </c>
    </row>
    <row r="36" spans="1:16" ht="14.25" customHeight="1" x14ac:dyDescent="0.3">
      <c r="A36" s="4"/>
      <c r="B36" s="4"/>
      <c r="C36" s="4" t="s">
        <v>334</v>
      </c>
      <c r="D36" s="6" t="s">
        <v>322</v>
      </c>
      <c r="E36" s="6" t="s">
        <v>39</v>
      </c>
      <c r="F36" s="102">
        <v>0.14285714285714285</v>
      </c>
      <c r="G36" s="4"/>
      <c r="H36" s="34">
        <f t="shared" si="22"/>
        <v>0.14285714285714285</v>
      </c>
      <c r="I36" s="34">
        <f t="shared" ref="I36:P36" si="26">+H36</f>
        <v>0.14285714285714285</v>
      </c>
      <c r="J36" s="34">
        <f t="shared" si="26"/>
        <v>0.14285714285714285</v>
      </c>
      <c r="K36" s="34">
        <f t="shared" si="26"/>
        <v>0.14285714285714285</v>
      </c>
      <c r="L36" s="34">
        <f t="shared" si="26"/>
        <v>0.14285714285714285</v>
      </c>
      <c r="M36" s="34">
        <f t="shared" si="26"/>
        <v>0.14285714285714285</v>
      </c>
      <c r="N36" s="34">
        <f t="shared" si="26"/>
        <v>0.14285714285714285</v>
      </c>
      <c r="O36" s="34">
        <f t="shared" si="26"/>
        <v>0.14285714285714285</v>
      </c>
      <c r="P36" s="34">
        <f t="shared" si="26"/>
        <v>0.14285714285714285</v>
      </c>
    </row>
    <row r="37" spans="1:16" ht="14.25" customHeight="1" x14ac:dyDescent="0.3">
      <c r="A37" s="4"/>
      <c r="B37" s="4"/>
      <c r="C37" s="4" t="s">
        <v>335</v>
      </c>
      <c r="D37" s="6" t="s">
        <v>322</v>
      </c>
      <c r="E37" s="6" t="s">
        <v>39</v>
      </c>
      <c r="F37" s="102">
        <v>0.14285714285714285</v>
      </c>
      <c r="G37" s="4"/>
      <c r="H37" s="34">
        <f t="shared" si="22"/>
        <v>0.14285714285714285</v>
      </c>
      <c r="I37" s="34">
        <f t="shared" ref="I37:P37" si="27">+H37</f>
        <v>0.14285714285714285</v>
      </c>
      <c r="J37" s="34">
        <f t="shared" si="27"/>
        <v>0.14285714285714285</v>
      </c>
      <c r="K37" s="34">
        <f t="shared" si="27"/>
        <v>0.14285714285714285</v>
      </c>
      <c r="L37" s="34">
        <f t="shared" si="27"/>
        <v>0.14285714285714285</v>
      </c>
      <c r="M37" s="34">
        <f t="shared" si="27"/>
        <v>0.14285714285714285</v>
      </c>
      <c r="N37" s="34">
        <f t="shared" si="27"/>
        <v>0.14285714285714285</v>
      </c>
      <c r="O37" s="34">
        <f t="shared" si="27"/>
        <v>0.14285714285714285</v>
      </c>
      <c r="P37" s="34">
        <f t="shared" si="27"/>
        <v>0.14285714285714285</v>
      </c>
    </row>
    <row r="38" spans="1:16" ht="14.25" customHeight="1" x14ac:dyDescent="0.3">
      <c r="A38" s="4"/>
      <c r="B38" s="4"/>
      <c r="C38" s="4" t="s">
        <v>336</v>
      </c>
      <c r="D38" s="6" t="s">
        <v>322</v>
      </c>
      <c r="E38" s="6" t="s">
        <v>39</v>
      </c>
      <c r="F38" s="102">
        <v>0.14285714285714285</v>
      </c>
      <c r="G38" s="4"/>
      <c r="H38" s="34">
        <f t="shared" ref="H38:H45" si="28">+F38</f>
        <v>0.14285714285714285</v>
      </c>
      <c r="I38" s="34">
        <f t="shared" ref="I38:P38" si="29">+H38</f>
        <v>0.14285714285714285</v>
      </c>
      <c r="J38" s="34">
        <f t="shared" si="29"/>
        <v>0.14285714285714285</v>
      </c>
      <c r="K38" s="34">
        <f t="shared" si="29"/>
        <v>0.14285714285714285</v>
      </c>
      <c r="L38" s="34">
        <f t="shared" si="29"/>
        <v>0.14285714285714285</v>
      </c>
      <c r="M38" s="34">
        <f t="shared" si="29"/>
        <v>0.14285714285714285</v>
      </c>
      <c r="N38" s="34">
        <f t="shared" si="29"/>
        <v>0.14285714285714285</v>
      </c>
      <c r="O38" s="34">
        <f t="shared" si="29"/>
        <v>0.14285714285714285</v>
      </c>
      <c r="P38" s="34">
        <f t="shared" si="29"/>
        <v>0.14285714285714285</v>
      </c>
    </row>
    <row r="39" spans="1:16" ht="14.25" customHeight="1" x14ac:dyDescent="0.3">
      <c r="A39" s="4"/>
      <c r="B39" s="4"/>
      <c r="C39" s="4" t="s">
        <v>337</v>
      </c>
      <c r="D39" s="6" t="s">
        <v>322</v>
      </c>
      <c r="E39" s="6" t="s">
        <v>39</v>
      </c>
      <c r="F39" s="102">
        <v>0.14285714285714285</v>
      </c>
      <c r="G39" s="4"/>
      <c r="H39" s="34">
        <f t="shared" si="28"/>
        <v>0.14285714285714285</v>
      </c>
      <c r="I39" s="34">
        <f t="shared" ref="I39:P39" si="30">+H39</f>
        <v>0.14285714285714285</v>
      </c>
      <c r="J39" s="34">
        <f t="shared" si="30"/>
        <v>0.14285714285714285</v>
      </c>
      <c r="K39" s="34">
        <f t="shared" si="30"/>
        <v>0.14285714285714285</v>
      </c>
      <c r="L39" s="34">
        <f t="shared" si="30"/>
        <v>0.14285714285714285</v>
      </c>
      <c r="M39" s="34">
        <f t="shared" si="30"/>
        <v>0.14285714285714285</v>
      </c>
      <c r="N39" s="34">
        <f t="shared" si="30"/>
        <v>0.14285714285714285</v>
      </c>
      <c r="O39" s="34">
        <f t="shared" si="30"/>
        <v>0.14285714285714285</v>
      </c>
      <c r="P39" s="34">
        <f t="shared" si="30"/>
        <v>0.14285714285714285</v>
      </c>
    </row>
    <row r="40" spans="1:16" ht="14.25" customHeight="1" x14ac:dyDescent="0.3">
      <c r="A40" s="4"/>
      <c r="B40" s="4"/>
      <c r="C40" s="4" t="s">
        <v>338</v>
      </c>
      <c r="D40" s="6" t="s">
        <v>322</v>
      </c>
      <c r="E40" s="6" t="s">
        <v>39</v>
      </c>
      <c r="F40" s="102">
        <v>0.14285714285714285</v>
      </c>
      <c r="G40" s="4"/>
      <c r="H40" s="34">
        <f t="shared" si="28"/>
        <v>0.14285714285714285</v>
      </c>
      <c r="I40" s="34">
        <f t="shared" ref="I40:P40" si="31">+H40</f>
        <v>0.14285714285714285</v>
      </c>
      <c r="J40" s="34">
        <f t="shared" si="31"/>
        <v>0.14285714285714285</v>
      </c>
      <c r="K40" s="34">
        <f t="shared" si="31"/>
        <v>0.14285714285714285</v>
      </c>
      <c r="L40" s="34">
        <f t="shared" si="31"/>
        <v>0.14285714285714285</v>
      </c>
      <c r="M40" s="34">
        <f t="shared" si="31"/>
        <v>0.14285714285714285</v>
      </c>
      <c r="N40" s="34">
        <f t="shared" si="31"/>
        <v>0.14285714285714285</v>
      </c>
      <c r="O40" s="34">
        <f t="shared" si="31"/>
        <v>0.14285714285714285</v>
      </c>
      <c r="P40" s="34">
        <f t="shared" si="31"/>
        <v>0.14285714285714285</v>
      </c>
    </row>
    <row r="41" spans="1:16" ht="14.25" customHeight="1" x14ac:dyDescent="0.3">
      <c r="A41" s="4"/>
      <c r="B41" s="4"/>
      <c r="C41" s="4" t="s">
        <v>339</v>
      </c>
      <c r="D41" s="6" t="s">
        <v>322</v>
      </c>
      <c r="E41" s="6" t="s">
        <v>39</v>
      </c>
      <c r="F41" s="102">
        <v>0.25</v>
      </c>
      <c r="G41" s="4"/>
      <c r="H41" s="34">
        <f t="shared" si="28"/>
        <v>0.25</v>
      </c>
      <c r="I41" s="34">
        <f t="shared" ref="I41:P41" si="32">+H41</f>
        <v>0.25</v>
      </c>
      <c r="J41" s="34">
        <f t="shared" si="32"/>
        <v>0.25</v>
      </c>
      <c r="K41" s="34">
        <f t="shared" si="32"/>
        <v>0.25</v>
      </c>
      <c r="L41" s="34">
        <f t="shared" si="32"/>
        <v>0.25</v>
      </c>
      <c r="M41" s="34">
        <f t="shared" si="32"/>
        <v>0.25</v>
      </c>
      <c r="N41" s="34">
        <f t="shared" si="32"/>
        <v>0.25</v>
      </c>
      <c r="O41" s="34">
        <f t="shared" si="32"/>
        <v>0.25</v>
      </c>
      <c r="P41" s="34">
        <f t="shared" si="32"/>
        <v>0.25</v>
      </c>
    </row>
    <row r="42" spans="1:16" ht="14.25" customHeight="1" x14ac:dyDescent="0.3">
      <c r="A42" s="4"/>
      <c r="B42" s="4"/>
      <c r="C42" s="4" t="s">
        <v>340</v>
      </c>
      <c r="D42" s="6" t="s">
        <v>322</v>
      </c>
      <c r="E42" s="6" t="s">
        <v>39</v>
      </c>
      <c r="F42" s="102">
        <v>0.25</v>
      </c>
      <c r="G42" s="4"/>
      <c r="H42" s="34">
        <f t="shared" si="28"/>
        <v>0.25</v>
      </c>
      <c r="I42" s="34">
        <f t="shared" ref="I42:P42" si="33">+H42</f>
        <v>0.25</v>
      </c>
      <c r="J42" s="34">
        <f t="shared" si="33"/>
        <v>0.25</v>
      </c>
      <c r="K42" s="34">
        <f t="shared" si="33"/>
        <v>0.25</v>
      </c>
      <c r="L42" s="34">
        <f t="shared" si="33"/>
        <v>0.25</v>
      </c>
      <c r="M42" s="34">
        <f t="shared" si="33"/>
        <v>0.25</v>
      </c>
      <c r="N42" s="34">
        <f t="shared" si="33"/>
        <v>0.25</v>
      </c>
      <c r="O42" s="34">
        <f t="shared" si="33"/>
        <v>0.25</v>
      </c>
      <c r="P42" s="34">
        <f t="shared" si="33"/>
        <v>0.25</v>
      </c>
    </row>
    <row r="43" spans="1:16" ht="14.25" customHeight="1" x14ac:dyDescent="0.3">
      <c r="A43" s="4"/>
      <c r="B43" s="4"/>
      <c r="C43" s="4" t="s">
        <v>341</v>
      </c>
      <c r="D43" s="6" t="s">
        <v>322</v>
      </c>
      <c r="E43" s="6" t="s">
        <v>39</v>
      </c>
      <c r="F43" s="102">
        <v>0.14285714285714285</v>
      </c>
      <c r="G43" s="4"/>
      <c r="H43" s="34">
        <f t="shared" si="28"/>
        <v>0.14285714285714285</v>
      </c>
      <c r="I43" s="34">
        <f t="shared" ref="I43:P43" si="34">+H43</f>
        <v>0.14285714285714285</v>
      </c>
      <c r="J43" s="34">
        <f t="shared" si="34"/>
        <v>0.14285714285714285</v>
      </c>
      <c r="K43" s="34">
        <f t="shared" si="34"/>
        <v>0.14285714285714285</v>
      </c>
      <c r="L43" s="34">
        <f t="shared" si="34"/>
        <v>0.14285714285714285</v>
      </c>
      <c r="M43" s="34">
        <f t="shared" si="34"/>
        <v>0.14285714285714285</v>
      </c>
      <c r="N43" s="34">
        <f t="shared" si="34"/>
        <v>0.14285714285714285</v>
      </c>
      <c r="O43" s="34">
        <f t="shared" si="34"/>
        <v>0.14285714285714285</v>
      </c>
      <c r="P43" s="34">
        <f t="shared" si="34"/>
        <v>0.14285714285714285</v>
      </c>
    </row>
    <row r="44" spans="1:16" ht="14.25" customHeight="1" x14ac:dyDescent="0.3">
      <c r="A44" s="4"/>
      <c r="B44" s="4"/>
      <c r="C44" s="4" t="s">
        <v>342</v>
      </c>
      <c r="D44" s="6" t="s">
        <v>322</v>
      </c>
      <c r="E44" s="6" t="s">
        <v>39</v>
      </c>
      <c r="F44" s="102">
        <v>0.14285714285714285</v>
      </c>
      <c r="G44" s="4"/>
      <c r="H44" s="34">
        <f t="shared" si="28"/>
        <v>0.14285714285714285</v>
      </c>
      <c r="I44" s="34">
        <f t="shared" ref="I44:P44" si="35">+H44</f>
        <v>0.14285714285714285</v>
      </c>
      <c r="J44" s="34">
        <f t="shared" si="35"/>
        <v>0.14285714285714285</v>
      </c>
      <c r="K44" s="34">
        <f t="shared" si="35"/>
        <v>0.14285714285714285</v>
      </c>
      <c r="L44" s="34">
        <f t="shared" si="35"/>
        <v>0.14285714285714285</v>
      </c>
      <c r="M44" s="34">
        <f t="shared" si="35"/>
        <v>0.14285714285714285</v>
      </c>
      <c r="N44" s="34">
        <f t="shared" si="35"/>
        <v>0.14285714285714285</v>
      </c>
      <c r="O44" s="34">
        <f t="shared" si="35"/>
        <v>0.14285714285714285</v>
      </c>
      <c r="P44" s="34">
        <f t="shared" si="35"/>
        <v>0.14285714285714285</v>
      </c>
    </row>
    <row r="45" spans="1:16" ht="14.25" customHeight="1" x14ac:dyDescent="0.3">
      <c r="A45" s="4"/>
      <c r="B45" s="4"/>
      <c r="C45" s="4" t="s">
        <v>343</v>
      </c>
      <c r="D45" s="6" t="s">
        <v>322</v>
      </c>
      <c r="E45" s="6" t="s">
        <v>39</v>
      </c>
      <c r="F45" s="102">
        <v>0.14285714285714285</v>
      </c>
      <c r="G45" s="4"/>
      <c r="H45" s="34">
        <f t="shared" si="28"/>
        <v>0.14285714285714285</v>
      </c>
      <c r="I45" s="34">
        <f t="shared" ref="I45:P45" si="36">+H45</f>
        <v>0.14285714285714285</v>
      </c>
      <c r="J45" s="34">
        <f t="shared" si="36"/>
        <v>0.14285714285714285</v>
      </c>
      <c r="K45" s="34">
        <f t="shared" si="36"/>
        <v>0.14285714285714285</v>
      </c>
      <c r="L45" s="34">
        <f t="shared" si="36"/>
        <v>0.14285714285714285</v>
      </c>
      <c r="M45" s="34">
        <f t="shared" si="36"/>
        <v>0.14285714285714285</v>
      </c>
      <c r="N45" s="34">
        <f t="shared" si="36"/>
        <v>0.14285714285714285</v>
      </c>
      <c r="O45" s="34">
        <f t="shared" si="36"/>
        <v>0.14285714285714285</v>
      </c>
      <c r="P45" s="34">
        <f t="shared" si="36"/>
        <v>0.14285714285714285</v>
      </c>
    </row>
    <row r="46" spans="1:16" ht="14.25" customHeight="1" x14ac:dyDescent="0.3">
      <c r="A46" s="4"/>
      <c r="B46" s="4"/>
      <c r="C46" s="223" t="s">
        <v>61</v>
      </c>
      <c r="D46" s="254" t="s">
        <v>322</v>
      </c>
      <c r="E46" s="254" t="s">
        <v>39</v>
      </c>
      <c r="F46" s="266">
        <v>0.14235249056132046</v>
      </c>
      <c r="G46" s="223"/>
      <c r="H46" s="263">
        <f t="shared" ref="H46:H47" si="37">+F46</f>
        <v>0.14235249056132046</v>
      </c>
      <c r="I46" s="263">
        <f t="shared" ref="I46:P46" si="38">+H46</f>
        <v>0.14235249056132046</v>
      </c>
      <c r="J46" s="263">
        <f t="shared" si="38"/>
        <v>0.14235249056132046</v>
      </c>
      <c r="K46" s="263">
        <f t="shared" si="38"/>
        <v>0.14235249056132046</v>
      </c>
      <c r="L46" s="263">
        <f t="shared" si="38"/>
        <v>0.14235249056132046</v>
      </c>
      <c r="M46" s="263">
        <f t="shared" si="38"/>
        <v>0.14235249056132046</v>
      </c>
      <c r="N46" s="263">
        <f t="shared" si="38"/>
        <v>0.14235249056132046</v>
      </c>
      <c r="O46" s="263">
        <f t="shared" si="38"/>
        <v>0.14235249056132046</v>
      </c>
      <c r="P46" s="263">
        <f t="shared" si="38"/>
        <v>0.14235249056132046</v>
      </c>
    </row>
    <row r="47" spans="1:16" ht="14.25" customHeight="1" x14ac:dyDescent="0.3">
      <c r="A47" s="4"/>
      <c r="B47" s="4"/>
      <c r="C47" s="223" t="s">
        <v>62</v>
      </c>
      <c r="D47" s="254" t="s">
        <v>322</v>
      </c>
      <c r="E47" s="254" t="s">
        <v>39</v>
      </c>
      <c r="F47" s="266">
        <v>0.14235249056132046</v>
      </c>
      <c r="G47" s="223"/>
      <c r="H47" s="263">
        <f t="shared" si="37"/>
        <v>0.14235249056132046</v>
      </c>
      <c r="I47" s="263">
        <f t="shared" ref="I47:P49" si="39">+H47</f>
        <v>0.14235249056132046</v>
      </c>
      <c r="J47" s="263">
        <f t="shared" si="39"/>
        <v>0.14235249056132046</v>
      </c>
      <c r="K47" s="263">
        <f t="shared" si="39"/>
        <v>0.14235249056132046</v>
      </c>
      <c r="L47" s="263">
        <f t="shared" si="39"/>
        <v>0.14235249056132046</v>
      </c>
      <c r="M47" s="263">
        <f t="shared" si="39"/>
        <v>0.14235249056132046</v>
      </c>
      <c r="N47" s="263">
        <f t="shared" si="39"/>
        <v>0.14235249056132046</v>
      </c>
      <c r="O47" s="263">
        <f t="shared" si="39"/>
        <v>0.14235249056132046</v>
      </c>
      <c r="P47" s="263">
        <f t="shared" si="39"/>
        <v>0.14235249056132046</v>
      </c>
    </row>
    <row r="48" spans="1:16" ht="14.25" customHeight="1" x14ac:dyDescent="0.3">
      <c r="A48" s="4"/>
      <c r="B48" s="4"/>
      <c r="C48" s="223" t="s">
        <v>348</v>
      </c>
      <c r="D48" s="254" t="s">
        <v>322</v>
      </c>
      <c r="E48" s="254" t="s">
        <v>39</v>
      </c>
      <c r="F48" s="266">
        <v>0.14701080554218776</v>
      </c>
      <c r="G48" s="223"/>
      <c r="H48" s="263">
        <f t="shared" ref="H48" si="40">+F48</f>
        <v>0.14701080554218776</v>
      </c>
      <c r="I48" s="263">
        <f t="shared" si="39"/>
        <v>0.14701080554218776</v>
      </c>
      <c r="J48" s="263">
        <f t="shared" si="39"/>
        <v>0.14701080554218776</v>
      </c>
      <c r="K48" s="263">
        <f t="shared" si="39"/>
        <v>0.14701080554218776</v>
      </c>
      <c r="L48" s="263">
        <f t="shared" si="39"/>
        <v>0.14701080554218776</v>
      </c>
      <c r="M48" s="263">
        <f t="shared" si="39"/>
        <v>0.14701080554218776</v>
      </c>
      <c r="N48" s="263">
        <f t="shared" si="39"/>
        <v>0.14701080554218776</v>
      </c>
      <c r="O48" s="263">
        <f t="shared" si="39"/>
        <v>0.14701080554218776</v>
      </c>
      <c r="P48" s="263">
        <f t="shared" si="39"/>
        <v>0.14701080554218776</v>
      </c>
    </row>
    <row r="49" spans="1:16" ht="14.25" customHeight="1" x14ac:dyDescent="0.3">
      <c r="A49" s="4"/>
      <c r="B49" s="4"/>
      <c r="C49" s="223" t="s">
        <v>349</v>
      </c>
      <c r="D49" s="254" t="s">
        <v>322</v>
      </c>
      <c r="E49" s="254" t="s">
        <v>39</v>
      </c>
      <c r="F49" s="266">
        <v>0.14448063524095786</v>
      </c>
      <c r="G49" s="223"/>
      <c r="H49" s="263">
        <f t="shared" ref="H49" si="41">+F49</f>
        <v>0.14448063524095786</v>
      </c>
      <c r="I49" s="263">
        <f t="shared" si="39"/>
        <v>0.14448063524095786</v>
      </c>
      <c r="J49" s="263">
        <f t="shared" si="39"/>
        <v>0.14448063524095786</v>
      </c>
      <c r="K49" s="263">
        <f t="shared" si="39"/>
        <v>0.14448063524095786</v>
      </c>
      <c r="L49" s="263">
        <f t="shared" si="39"/>
        <v>0.14448063524095786</v>
      </c>
      <c r="M49" s="263">
        <f t="shared" si="39"/>
        <v>0.14448063524095786</v>
      </c>
      <c r="N49" s="263">
        <f t="shared" si="39"/>
        <v>0.14448063524095786</v>
      </c>
      <c r="O49" s="263">
        <f t="shared" si="39"/>
        <v>0.14448063524095786</v>
      </c>
      <c r="P49" s="263">
        <f t="shared" si="39"/>
        <v>0.14448063524095786</v>
      </c>
    </row>
    <row r="50" spans="1:16" ht="14.25" customHeight="1" x14ac:dyDescent="0.3">
      <c r="A50" s="4"/>
      <c r="B50" s="4"/>
      <c r="C50" s="223" t="s">
        <v>350</v>
      </c>
      <c r="D50" s="254" t="s">
        <v>322</v>
      </c>
      <c r="E50" s="254" t="s">
        <v>39</v>
      </c>
      <c r="F50" s="266">
        <v>0.14142080676879171</v>
      </c>
      <c r="G50" s="223"/>
      <c r="H50" s="263">
        <f t="shared" ref="H50:H52" si="42">+F50</f>
        <v>0.14142080676879171</v>
      </c>
      <c r="I50" s="263">
        <f t="shared" ref="I50:P50" si="43">+H50</f>
        <v>0.14142080676879171</v>
      </c>
      <c r="J50" s="263">
        <f t="shared" si="43"/>
        <v>0.14142080676879171</v>
      </c>
      <c r="K50" s="263">
        <f t="shared" si="43"/>
        <v>0.14142080676879171</v>
      </c>
      <c r="L50" s="263">
        <f t="shared" si="43"/>
        <v>0.14142080676879171</v>
      </c>
      <c r="M50" s="263">
        <f t="shared" si="43"/>
        <v>0.14142080676879171</v>
      </c>
      <c r="N50" s="263">
        <f t="shared" si="43"/>
        <v>0.14142080676879171</v>
      </c>
      <c r="O50" s="263">
        <f t="shared" si="43"/>
        <v>0.14142080676879171</v>
      </c>
      <c r="P50" s="263">
        <f t="shared" si="43"/>
        <v>0.14142080676879171</v>
      </c>
    </row>
    <row r="51" spans="1:16" ht="14.25" customHeight="1" x14ac:dyDescent="0.3">
      <c r="A51" s="4"/>
      <c r="B51" s="4"/>
      <c r="C51" s="223" t="s">
        <v>351</v>
      </c>
      <c r="D51" s="254" t="s">
        <v>322</v>
      </c>
      <c r="E51" s="254" t="s">
        <v>39</v>
      </c>
      <c r="F51" s="266">
        <v>0.10866350805388741</v>
      </c>
      <c r="G51" s="223"/>
      <c r="H51" s="263">
        <f t="shared" si="42"/>
        <v>0.10866350805388741</v>
      </c>
      <c r="I51" s="263">
        <f t="shared" ref="I51:P51" si="44">+H51</f>
        <v>0.10866350805388741</v>
      </c>
      <c r="J51" s="263">
        <f t="shared" si="44"/>
        <v>0.10866350805388741</v>
      </c>
      <c r="K51" s="263">
        <f t="shared" si="44"/>
        <v>0.10866350805388741</v>
      </c>
      <c r="L51" s="263">
        <f t="shared" si="44"/>
        <v>0.10866350805388741</v>
      </c>
      <c r="M51" s="263">
        <f t="shared" si="44"/>
        <v>0.10866350805388741</v>
      </c>
      <c r="N51" s="263">
        <f t="shared" si="44"/>
        <v>0.10866350805388741</v>
      </c>
      <c r="O51" s="263">
        <f t="shared" si="44"/>
        <v>0.10866350805388741</v>
      </c>
      <c r="P51" s="263">
        <f t="shared" si="44"/>
        <v>0.10866350805388741</v>
      </c>
    </row>
    <row r="52" spans="1:16" ht="14.25" customHeight="1" x14ac:dyDescent="0.3">
      <c r="A52" s="4"/>
      <c r="B52" s="4"/>
      <c r="C52" s="223" t="s">
        <v>352</v>
      </c>
      <c r="D52" s="254" t="s">
        <v>322</v>
      </c>
      <c r="E52" s="254" t="s">
        <v>39</v>
      </c>
      <c r="F52" s="266">
        <v>0.15649824175085347</v>
      </c>
      <c r="G52" s="223"/>
      <c r="H52" s="263">
        <f t="shared" si="42"/>
        <v>0.15649824175085347</v>
      </c>
      <c r="I52" s="263">
        <f t="shared" ref="I52:P52" si="45">+H52</f>
        <v>0.15649824175085347</v>
      </c>
      <c r="J52" s="263">
        <f t="shared" si="45"/>
        <v>0.15649824175085347</v>
      </c>
      <c r="K52" s="263">
        <f t="shared" si="45"/>
        <v>0.15649824175085347</v>
      </c>
      <c r="L52" s="263">
        <f t="shared" si="45"/>
        <v>0.15649824175085347</v>
      </c>
      <c r="M52" s="263">
        <f t="shared" si="45"/>
        <v>0.15649824175085347</v>
      </c>
      <c r="N52" s="263">
        <f t="shared" si="45"/>
        <v>0.15649824175085347</v>
      </c>
      <c r="O52" s="263">
        <f t="shared" si="45"/>
        <v>0.15649824175085347</v>
      </c>
      <c r="P52" s="263">
        <f t="shared" si="45"/>
        <v>0.15649824175085347</v>
      </c>
    </row>
    <row r="53" spans="1:16" ht="14.25" customHeight="1" collapsed="1" x14ac:dyDescent="0.3">
      <c r="A53" s="4"/>
      <c r="B53" s="4"/>
      <c r="C53" s="4"/>
      <c r="D53" s="6"/>
      <c r="E53" s="6"/>
      <c r="F53" s="102"/>
      <c r="G53" s="4"/>
      <c r="H53" s="34"/>
      <c r="I53" s="34"/>
      <c r="J53" s="34"/>
      <c r="K53" s="34"/>
      <c r="L53" s="34"/>
      <c r="M53" s="34"/>
      <c r="N53" s="34"/>
      <c r="O53" s="34"/>
      <c r="P53" s="34"/>
    </row>
    <row r="54" spans="1:16" ht="14.25" customHeight="1" x14ac:dyDescent="0.3">
      <c r="A54" s="4"/>
      <c r="B54" s="7" t="s">
        <v>353</v>
      </c>
      <c r="C54" s="4"/>
      <c r="D54" s="6"/>
      <c r="E54" s="6"/>
      <c r="F54" s="102"/>
      <c r="G54" s="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4.25" customHeight="1" x14ac:dyDescent="0.3">
      <c r="A55" s="4"/>
      <c r="B55" s="4"/>
      <c r="C55" s="4" t="s">
        <v>354</v>
      </c>
      <c r="D55" s="6" t="s">
        <v>322</v>
      </c>
      <c r="E55" s="6" t="s">
        <v>39</v>
      </c>
      <c r="F55" s="102">
        <v>3.844938375645212E-2</v>
      </c>
      <c r="G55" s="4"/>
      <c r="H55" s="34">
        <f t="shared" ref="H55:H66" si="46">+F55</f>
        <v>3.844938375645212E-2</v>
      </c>
      <c r="I55" s="34">
        <f t="shared" ref="I55:P55" si="47">+H55</f>
        <v>3.844938375645212E-2</v>
      </c>
      <c r="J55" s="34">
        <f t="shared" si="47"/>
        <v>3.844938375645212E-2</v>
      </c>
      <c r="K55" s="34">
        <f t="shared" si="47"/>
        <v>3.844938375645212E-2</v>
      </c>
      <c r="L55" s="34">
        <f t="shared" si="47"/>
        <v>3.844938375645212E-2</v>
      </c>
      <c r="M55" s="34">
        <f t="shared" si="47"/>
        <v>3.844938375645212E-2</v>
      </c>
      <c r="N55" s="34">
        <f t="shared" si="47"/>
        <v>3.844938375645212E-2</v>
      </c>
      <c r="O55" s="34">
        <f t="shared" si="47"/>
        <v>3.844938375645212E-2</v>
      </c>
      <c r="P55" s="34">
        <f t="shared" si="47"/>
        <v>3.844938375645212E-2</v>
      </c>
    </row>
    <row r="56" spans="1:16" ht="14.25" customHeight="1" x14ac:dyDescent="0.3">
      <c r="A56" s="4"/>
      <c r="B56" s="4"/>
      <c r="C56" s="4" t="s">
        <v>355</v>
      </c>
      <c r="D56" s="6" t="s">
        <v>322</v>
      </c>
      <c r="E56" s="6" t="s">
        <v>39</v>
      </c>
      <c r="F56" s="102">
        <v>4.0951419275215978E-2</v>
      </c>
      <c r="G56" s="4"/>
      <c r="H56" s="34">
        <f t="shared" si="46"/>
        <v>4.0951419275215978E-2</v>
      </c>
      <c r="I56" s="34">
        <f t="shared" ref="I56:P56" si="48">+H56</f>
        <v>4.0951419275215978E-2</v>
      </c>
      <c r="J56" s="34">
        <f t="shared" si="48"/>
        <v>4.0951419275215978E-2</v>
      </c>
      <c r="K56" s="34">
        <f t="shared" si="48"/>
        <v>4.0951419275215978E-2</v>
      </c>
      <c r="L56" s="34">
        <f t="shared" si="48"/>
        <v>4.0951419275215978E-2</v>
      </c>
      <c r="M56" s="34">
        <f t="shared" si="48"/>
        <v>4.0951419275215978E-2</v>
      </c>
      <c r="N56" s="34">
        <f t="shared" si="48"/>
        <v>4.0951419275215978E-2</v>
      </c>
      <c r="O56" s="34">
        <f t="shared" si="48"/>
        <v>4.0951419275215978E-2</v>
      </c>
      <c r="P56" s="34">
        <f t="shared" si="48"/>
        <v>4.0951419275215978E-2</v>
      </c>
    </row>
    <row r="57" spans="1:16" ht="14.25" customHeight="1" x14ac:dyDescent="0.3">
      <c r="A57" s="4"/>
      <c r="B57" s="4"/>
      <c r="C57" s="4" t="s">
        <v>356</v>
      </c>
      <c r="D57" s="6" t="s">
        <v>322</v>
      </c>
      <c r="E57" s="6" t="s">
        <v>39</v>
      </c>
      <c r="F57" s="102">
        <v>3.844938375645212E-2</v>
      </c>
      <c r="G57" s="4"/>
      <c r="H57" s="34">
        <f t="shared" si="46"/>
        <v>3.844938375645212E-2</v>
      </c>
      <c r="I57" s="34">
        <f t="shared" ref="I57:P57" si="49">+H57</f>
        <v>3.844938375645212E-2</v>
      </c>
      <c r="J57" s="34">
        <f t="shared" si="49"/>
        <v>3.844938375645212E-2</v>
      </c>
      <c r="K57" s="34">
        <f t="shared" si="49"/>
        <v>3.844938375645212E-2</v>
      </c>
      <c r="L57" s="34">
        <f t="shared" si="49"/>
        <v>3.844938375645212E-2</v>
      </c>
      <c r="M57" s="34">
        <f t="shared" si="49"/>
        <v>3.844938375645212E-2</v>
      </c>
      <c r="N57" s="34">
        <f t="shared" si="49"/>
        <v>3.844938375645212E-2</v>
      </c>
      <c r="O57" s="34">
        <f t="shared" si="49"/>
        <v>3.844938375645212E-2</v>
      </c>
      <c r="P57" s="34">
        <f t="shared" si="49"/>
        <v>3.844938375645212E-2</v>
      </c>
    </row>
    <row r="58" spans="1:16" ht="14.25" customHeight="1" x14ac:dyDescent="0.3">
      <c r="A58" s="4"/>
      <c r="B58" s="4"/>
      <c r="C58" s="4" t="s">
        <v>357</v>
      </c>
      <c r="D58" s="6" t="s">
        <v>322</v>
      </c>
      <c r="E58" s="6" t="s">
        <v>39</v>
      </c>
      <c r="F58" s="102">
        <v>4.0951419275215978E-2</v>
      </c>
      <c r="G58" s="4"/>
      <c r="H58" s="34">
        <f t="shared" si="46"/>
        <v>4.0951419275215978E-2</v>
      </c>
      <c r="I58" s="34">
        <f t="shared" ref="I58:P58" si="50">+H58</f>
        <v>4.0951419275215978E-2</v>
      </c>
      <c r="J58" s="34">
        <f t="shared" si="50"/>
        <v>4.0951419275215978E-2</v>
      </c>
      <c r="K58" s="34">
        <f t="shared" si="50"/>
        <v>4.0951419275215978E-2</v>
      </c>
      <c r="L58" s="34">
        <f t="shared" si="50"/>
        <v>4.0951419275215978E-2</v>
      </c>
      <c r="M58" s="34">
        <f t="shared" si="50"/>
        <v>4.0951419275215978E-2</v>
      </c>
      <c r="N58" s="34">
        <f t="shared" si="50"/>
        <v>4.0951419275215978E-2</v>
      </c>
      <c r="O58" s="34">
        <f t="shared" si="50"/>
        <v>4.0951419275215978E-2</v>
      </c>
      <c r="P58" s="34">
        <f t="shared" si="50"/>
        <v>4.0951419275215978E-2</v>
      </c>
    </row>
    <row r="59" spans="1:16" ht="14.25" customHeight="1" x14ac:dyDescent="0.3">
      <c r="A59" s="4"/>
      <c r="B59" s="4"/>
      <c r="C59" s="4" t="s">
        <v>358</v>
      </c>
      <c r="D59" s="6" t="s">
        <v>322</v>
      </c>
      <c r="E59" s="6" t="s">
        <v>39</v>
      </c>
      <c r="F59" s="102">
        <v>3.8591668428843304E-2</v>
      </c>
      <c r="G59" s="4"/>
      <c r="H59" s="34">
        <f t="shared" si="46"/>
        <v>3.8591668428843304E-2</v>
      </c>
      <c r="I59" s="34">
        <f t="shared" ref="I59:P59" si="51">+H59</f>
        <v>3.8591668428843304E-2</v>
      </c>
      <c r="J59" s="34">
        <f t="shared" si="51"/>
        <v>3.8591668428843304E-2</v>
      </c>
      <c r="K59" s="34">
        <f t="shared" si="51"/>
        <v>3.8591668428843304E-2</v>
      </c>
      <c r="L59" s="34">
        <f t="shared" si="51"/>
        <v>3.8591668428843304E-2</v>
      </c>
      <c r="M59" s="34">
        <f t="shared" si="51"/>
        <v>3.8591668428843304E-2</v>
      </c>
      <c r="N59" s="34">
        <f t="shared" si="51"/>
        <v>3.8591668428843304E-2</v>
      </c>
      <c r="O59" s="34">
        <f t="shared" si="51"/>
        <v>3.8591668428843304E-2</v>
      </c>
      <c r="P59" s="34">
        <f t="shared" si="51"/>
        <v>3.8591668428843304E-2</v>
      </c>
    </row>
    <row r="60" spans="1:16" ht="14.25" customHeight="1" x14ac:dyDescent="0.3">
      <c r="A60" s="4"/>
      <c r="B60" s="4"/>
      <c r="C60" s="4" t="s">
        <v>359</v>
      </c>
      <c r="D60" s="6" t="s">
        <v>322</v>
      </c>
      <c r="E60" s="6" t="s">
        <v>39</v>
      </c>
      <c r="F60" s="102">
        <v>4.0956014362657091E-2</v>
      </c>
      <c r="G60" s="4"/>
      <c r="H60" s="34">
        <f t="shared" si="46"/>
        <v>4.0956014362657091E-2</v>
      </c>
      <c r="I60" s="34">
        <f t="shared" ref="I60:P60" si="52">+H60</f>
        <v>4.0956014362657091E-2</v>
      </c>
      <c r="J60" s="34">
        <f t="shared" si="52"/>
        <v>4.0956014362657091E-2</v>
      </c>
      <c r="K60" s="34">
        <f t="shared" si="52"/>
        <v>4.0956014362657091E-2</v>
      </c>
      <c r="L60" s="34">
        <f t="shared" si="52"/>
        <v>4.0956014362657091E-2</v>
      </c>
      <c r="M60" s="34">
        <f t="shared" si="52"/>
        <v>4.0956014362657091E-2</v>
      </c>
      <c r="N60" s="34">
        <f t="shared" si="52"/>
        <v>4.0956014362657091E-2</v>
      </c>
      <c r="O60" s="34">
        <f t="shared" si="52"/>
        <v>4.0956014362657091E-2</v>
      </c>
      <c r="P60" s="34">
        <f t="shared" si="52"/>
        <v>4.0956014362657091E-2</v>
      </c>
    </row>
    <row r="61" spans="1:16" ht="14.25" customHeight="1" x14ac:dyDescent="0.3">
      <c r="A61" s="4"/>
      <c r="B61" s="4"/>
      <c r="C61" s="4" t="s">
        <v>360</v>
      </c>
      <c r="D61" s="6" t="s">
        <v>322</v>
      </c>
      <c r="E61" s="6" t="s">
        <v>39</v>
      </c>
      <c r="F61" s="102">
        <v>0.33333333333333331</v>
      </c>
      <c r="G61" s="4"/>
      <c r="H61" s="34">
        <f t="shared" si="46"/>
        <v>0.33333333333333331</v>
      </c>
      <c r="I61" s="34">
        <f t="shared" ref="I61:P61" si="53">+H61</f>
        <v>0.33333333333333331</v>
      </c>
      <c r="J61" s="34">
        <f t="shared" si="53"/>
        <v>0.33333333333333331</v>
      </c>
      <c r="K61" s="34">
        <f t="shared" si="53"/>
        <v>0.33333333333333331</v>
      </c>
      <c r="L61" s="34">
        <f t="shared" si="53"/>
        <v>0.33333333333333331</v>
      </c>
      <c r="M61" s="34">
        <f t="shared" si="53"/>
        <v>0.33333333333333331</v>
      </c>
      <c r="N61" s="34">
        <f t="shared" si="53"/>
        <v>0.33333333333333331</v>
      </c>
      <c r="O61" s="34">
        <f t="shared" si="53"/>
        <v>0.33333333333333331</v>
      </c>
      <c r="P61" s="34">
        <f t="shared" si="53"/>
        <v>0.33333333333333331</v>
      </c>
    </row>
    <row r="62" spans="1:16" ht="14.25" customHeight="1" x14ac:dyDescent="0.3">
      <c r="A62" s="4"/>
      <c r="B62" s="4"/>
      <c r="C62" s="4" t="s">
        <v>361</v>
      </c>
      <c r="D62" s="6" t="s">
        <v>322</v>
      </c>
      <c r="E62" s="6" t="s">
        <v>39</v>
      </c>
      <c r="F62" s="102">
        <v>0.05</v>
      </c>
      <c r="G62" s="4"/>
      <c r="H62" s="34">
        <f t="shared" si="46"/>
        <v>0.05</v>
      </c>
      <c r="I62" s="34">
        <f t="shared" ref="I62:P62" si="54">+H62</f>
        <v>0.05</v>
      </c>
      <c r="J62" s="34">
        <f t="shared" si="54"/>
        <v>0.05</v>
      </c>
      <c r="K62" s="34">
        <f t="shared" si="54"/>
        <v>0.05</v>
      </c>
      <c r="L62" s="34">
        <f t="shared" si="54"/>
        <v>0.05</v>
      </c>
      <c r="M62" s="34">
        <f t="shared" si="54"/>
        <v>0.05</v>
      </c>
      <c r="N62" s="34">
        <f t="shared" si="54"/>
        <v>0.05</v>
      </c>
      <c r="O62" s="34">
        <f t="shared" si="54"/>
        <v>0.05</v>
      </c>
      <c r="P62" s="34">
        <f t="shared" si="54"/>
        <v>0.05</v>
      </c>
    </row>
    <row r="63" spans="1:16" ht="14.25" customHeight="1" x14ac:dyDescent="0.3">
      <c r="A63" s="4"/>
      <c r="B63" s="4"/>
      <c r="C63" s="4" t="s">
        <v>362</v>
      </c>
      <c r="D63" s="6" t="s">
        <v>322</v>
      </c>
      <c r="E63" s="6" t="s">
        <v>39</v>
      </c>
      <c r="F63" s="102">
        <v>0.14285714285714285</v>
      </c>
      <c r="G63" s="4"/>
      <c r="H63" s="34">
        <f t="shared" si="46"/>
        <v>0.14285714285714285</v>
      </c>
      <c r="I63" s="34">
        <f t="shared" ref="I63:P63" si="55">+H63</f>
        <v>0.14285714285714285</v>
      </c>
      <c r="J63" s="34">
        <f t="shared" si="55"/>
        <v>0.14285714285714285</v>
      </c>
      <c r="K63" s="34">
        <f t="shared" si="55"/>
        <v>0.14285714285714285</v>
      </c>
      <c r="L63" s="34">
        <f t="shared" si="55"/>
        <v>0.14285714285714285</v>
      </c>
      <c r="M63" s="34">
        <f t="shared" si="55"/>
        <v>0.14285714285714285</v>
      </c>
      <c r="N63" s="34">
        <f t="shared" si="55"/>
        <v>0.14285714285714285</v>
      </c>
      <c r="O63" s="34">
        <f t="shared" si="55"/>
        <v>0.14285714285714285</v>
      </c>
      <c r="P63" s="34">
        <f t="shared" si="55"/>
        <v>0.14285714285714285</v>
      </c>
    </row>
    <row r="64" spans="1:16" ht="14.25" customHeight="1" x14ac:dyDescent="0.3">
      <c r="A64" s="4"/>
      <c r="B64" s="4"/>
      <c r="C64" s="4" t="s">
        <v>363</v>
      </c>
      <c r="D64" s="6" t="s">
        <v>322</v>
      </c>
      <c r="E64" s="6" t="s">
        <v>39</v>
      </c>
      <c r="F64" s="102">
        <v>3.9635139537409055E-2</v>
      </c>
      <c r="G64" s="4"/>
      <c r="H64" s="34">
        <f t="shared" si="46"/>
        <v>3.9635139537409055E-2</v>
      </c>
      <c r="I64" s="34">
        <f t="shared" ref="I64:P64" si="56">+H64</f>
        <v>3.9635139537409055E-2</v>
      </c>
      <c r="J64" s="34">
        <f t="shared" si="56"/>
        <v>3.9635139537409055E-2</v>
      </c>
      <c r="K64" s="34">
        <f t="shared" si="56"/>
        <v>3.9635139537409055E-2</v>
      </c>
      <c r="L64" s="34">
        <f t="shared" si="56"/>
        <v>3.9635139537409055E-2</v>
      </c>
      <c r="M64" s="34">
        <f t="shared" si="56"/>
        <v>3.9635139537409055E-2</v>
      </c>
      <c r="N64" s="34">
        <f t="shared" si="56"/>
        <v>3.9635139537409055E-2</v>
      </c>
      <c r="O64" s="34">
        <f t="shared" si="56"/>
        <v>3.9635139537409055E-2</v>
      </c>
      <c r="P64" s="34">
        <f t="shared" si="56"/>
        <v>3.9635139537409055E-2</v>
      </c>
    </row>
    <row r="65" spans="1:16" ht="14.25" customHeight="1" x14ac:dyDescent="0.3">
      <c r="A65" s="4"/>
      <c r="B65" s="4"/>
      <c r="C65" s="4" t="s">
        <v>364</v>
      </c>
      <c r="D65" s="6" t="s">
        <v>322</v>
      </c>
      <c r="E65" s="6" t="s">
        <v>39</v>
      </c>
      <c r="F65" s="102">
        <v>3.9635139537409055E-2</v>
      </c>
      <c r="G65" s="4"/>
      <c r="H65" s="34">
        <f t="shared" si="46"/>
        <v>3.9635139537409055E-2</v>
      </c>
      <c r="I65" s="34">
        <f t="shared" ref="I65:P65" si="57">+H65</f>
        <v>3.9635139537409055E-2</v>
      </c>
      <c r="J65" s="34">
        <f t="shared" si="57"/>
        <v>3.9635139537409055E-2</v>
      </c>
      <c r="K65" s="34">
        <f t="shared" si="57"/>
        <v>3.9635139537409055E-2</v>
      </c>
      <c r="L65" s="34">
        <f t="shared" si="57"/>
        <v>3.9635139537409055E-2</v>
      </c>
      <c r="M65" s="34">
        <f t="shared" si="57"/>
        <v>3.9635139537409055E-2</v>
      </c>
      <c r="N65" s="34">
        <f t="shared" si="57"/>
        <v>3.9635139537409055E-2</v>
      </c>
      <c r="O65" s="34">
        <f t="shared" si="57"/>
        <v>3.9635139537409055E-2</v>
      </c>
      <c r="P65" s="34">
        <f t="shared" si="57"/>
        <v>3.9635139537409055E-2</v>
      </c>
    </row>
    <row r="66" spans="1:16" ht="14.25" customHeight="1" x14ac:dyDescent="0.3">
      <c r="A66" s="4"/>
      <c r="B66" s="4"/>
      <c r="C66" s="4" t="s">
        <v>365</v>
      </c>
      <c r="D66" s="6" t="s">
        <v>322</v>
      </c>
      <c r="E66" s="6" t="s">
        <v>39</v>
      </c>
      <c r="F66" s="102">
        <v>3.94125904329986E-2</v>
      </c>
      <c r="G66" s="4"/>
      <c r="H66" s="34">
        <f t="shared" si="46"/>
        <v>3.94125904329986E-2</v>
      </c>
      <c r="I66" s="34">
        <f t="shared" ref="I66:P66" si="58">+H66</f>
        <v>3.94125904329986E-2</v>
      </c>
      <c r="J66" s="34">
        <f t="shared" si="58"/>
        <v>3.94125904329986E-2</v>
      </c>
      <c r="K66" s="34">
        <f t="shared" si="58"/>
        <v>3.94125904329986E-2</v>
      </c>
      <c r="L66" s="34">
        <f t="shared" si="58"/>
        <v>3.94125904329986E-2</v>
      </c>
      <c r="M66" s="34">
        <f t="shared" si="58"/>
        <v>3.94125904329986E-2</v>
      </c>
      <c r="N66" s="34">
        <f t="shared" si="58"/>
        <v>3.94125904329986E-2</v>
      </c>
      <c r="O66" s="34">
        <f t="shared" si="58"/>
        <v>3.94125904329986E-2</v>
      </c>
      <c r="P66" s="34">
        <f t="shared" si="58"/>
        <v>3.94125904329986E-2</v>
      </c>
    </row>
    <row r="67" spans="1:16" ht="14.25" customHeight="1" x14ac:dyDescent="0.3">
      <c r="A67" s="4"/>
      <c r="B67" s="4"/>
      <c r="C67" s="4" t="s">
        <v>366</v>
      </c>
      <c r="D67" s="6" t="s">
        <v>322</v>
      </c>
      <c r="E67" s="6" t="s">
        <v>39</v>
      </c>
      <c r="F67" s="102">
        <v>0.04</v>
      </c>
      <c r="G67" s="4"/>
      <c r="H67" s="34">
        <f t="shared" ref="H67:H71" si="59">+F67</f>
        <v>0.04</v>
      </c>
      <c r="I67" s="34">
        <f t="shared" ref="I67:P67" si="60">+H67</f>
        <v>0.04</v>
      </c>
      <c r="J67" s="34">
        <f t="shared" si="60"/>
        <v>0.04</v>
      </c>
      <c r="K67" s="34">
        <f t="shared" si="60"/>
        <v>0.04</v>
      </c>
      <c r="L67" s="34">
        <f t="shared" si="60"/>
        <v>0.04</v>
      </c>
      <c r="M67" s="34">
        <f t="shared" si="60"/>
        <v>0.04</v>
      </c>
      <c r="N67" s="34">
        <f t="shared" si="60"/>
        <v>0.04</v>
      </c>
      <c r="O67" s="34">
        <f t="shared" si="60"/>
        <v>0.04</v>
      </c>
      <c r="P67" s="34">
        <f t="shared" si="60"/>
        <v>0.04</v>
      </c>
    </row>
    <row r="68" spans="1:16" ht="14.25" customHeight="1" x14ac:dyDescent="0.3">
      <c r="A68" s="4"/>
      <c r="B68" s="4"/>
      <c r="C68" s="4" t="s">
        <v>367</v>
      </c>
      <c r="D68" s="6" t="s">
        <v>322</v>
      </c>
      <c r="E68" s="6" t="s">
        <v>39</v>
      </c>
      <c r="F68" s="102">
        <v>3.9652362846279196E-2</v>
      </c>
      <c r="G68" s="4"/>
      <c r="H68" s="34">
        <f t="shared" si="59"/>
        <v>3.9652362846279196E-2</v>
      </c>
      <c r="I68" s="34">
        <f t="shared" ref="I68:P68" si="61">+H68</f>
        <v>3.9652362846279196E-2</v>
      </c>
      <c r="J68" s="34">
        <f t="shared" si="61"/>
        <v>3.9652362846279196E-2</v>
      </c>
      <c r="K68" s="34">
        <f t="shared" si="61"/>
        <v>3.9652362846279196E-2</v>
      </c>
      <c r="L68" s="34">
        <f t="shared" si="61"/>
        <v>3.9652362846279196E-2</v>
      </c>
      <c r="M68" s="34">
        <f t="shared" si="61"/>
        <v>3.9652362846279196E-2</v>
      </c>
      <c r="N68" s="34">
        <f t="shared" si="61"/>
        <v>3.9652362846279196E-2</v>
      </c>
      <c r="O68" s="34">
        <f t="shared" si="61"/>
        <v>3.9652362846279196E-2</v>
      </c>
      <c r="P68" s="34">
        <f t="shared" si="61"/>
        <v>3.9652362846279196E-2</v>
      </c>
    </row>
    <row r="69" spans="1:16" ht="14.25" customHeight="1" x14ac:dyDescent="0.3">
      <c r="A69" s="4"/>
      <c r="B69" s="4"/>
      <c r="C69" s="4" t="s">
        <v>368</v>
      </c>
      <c r="D69" s="6" t="s">
        <v>322</v>
      </c>
      <c r="E69" s="6" t="s">
        <v>39</v>
      </c>
      <c r="F69" s="102">
        <v>6.25E-2</v>
      </c>
      <c r="G69" s="4"/>
      <c r="H69" s="34">
        <f t="shared" si="59"/>
        <v>6.25E-2</v>
      </c>
      <c r="I69" s="34">
        <f t="shared" ref="I69:P69" si="62">+H69</f>
        <v>6.25E-2</v>
      </c>
      <c r="J69" s="34">
        <f t="shared" si="62"/>
        <v>6.25E-2</v>
      </c>
      <c r="K69" s="34">
        <f t="shared" si="62"/>
        <v>6.25E-2</v>
      </c>
      <c r="L69" s="34">
        <f t="shared" si="62"/>
        <v>6.25E-2</v>
      </c>
      <c r="M69" s="34">
        <f t="shared" si="62"/>
        <v>6.25E-2</v>
      </c>
      <c r="N69" s="34">
        <f t="shared" si="62"/>
        <v>6.25E-2</v>
      </c>
      <c r="O69" s="34">
        <f t="shared" si="62"/>
        <v>6.25E-2</v>
      </c>
      <c r="P69" s="34">
        <f t="shared" si="62"/>
        <v>6.25E-2</v>
      </c>
    </row>
    <row r="70" spans="1:16" ht="14.25" customHeight="1" x14ac:dyDescent="0.3">
      <c r="A70" s="4"/>
      <c r="B70" s="4"/>
      <c r="C70" s="4" t="s">
        <v>369</v>
      </c>
      <c r="D70" s="6" t="s">
        <v>322</v>
      </c>
      <c r="E70" s="6" t="s">
        <v>39</v>
      </c>
      <c r="F70" s="102">
        <v>0.05</v>
      </c>
      <c r="G70" s="4"/>
      <c r="H70" s="34">
        <f t="shared" si="59"/>
        <v>0.05</v>
      </c>
      <c r="I70" s="34">
        <f t="shared" ref="I70:P70" si="63">+H70</f>
        <v>0.05</v>
      </c>
      <c r="J70" s="34">
        <f t="shared" si="63"/>
        <v>0.05</v>
      </c>
      <c r="K70" s="34">
        <f t="shared" si="63"/>
        <v>0.05</v>
      </c>
      <c r="L70" s="34">
        <f t="shared" si="63"/>
        <v>0.05</v>
      </c>
      <c r="M70" s="34">
        <f t="shared" si="63"/>
        <v>0.05</v>
      </c>
      <c r="N70" s="34">
        <f t="shared" si="63"/>
        <v>0.05</v>
      </c>
      <c r="O70" s="34">
        <f t="shared" si="63"/>
        <v>0.05</v>
      </c>
      <c r="P70" s="34">
        <f t="shared" si="63"/>
        <v>0.05</v>
      </c>
    </row>
    <row r="71" spans="1:16" ht="14.25" customHeight="1" x14ac:dyDescent="0.3">
      <c r="A71" s="4"/>
      <c r="B71" s="4"/>
      <c r="C71" s="4" t="s">
        <v>370</v>
      </c>
      <c r="D71" s="6" t="s">
        <v>322</v>
      </c>
      <c r="E71" s="6" t="s">
        <v>39</v>
      </c>
      <c r="F71" s="102">
        <v>4.0951419275215978E-2</v>
      </c>
      <c r="G71" s="4"/>
      <c r="H71" s="34">
        <f t="shared" si="59"/>
        <v>4.0951419275215978E-2</v>
      </c>
      <c r="I71" s="34">
        <f t="shared" ref="I71:P71" si="64">+H71</f>
        <v>4.0951419275215978E-2</v>
      </c>
      <c r="J71" s="34">
        <f t="shared" si="64"/>
        <v>4.0951419275215978E-2</v>
      </c>
      <c r="K71" s="34">
        <f t="shared" si="64"/>
        <v>4.0951419275215978E-2</v>
      </c>
      <c r="L71" s="34">
        <f t="shared" si="64"/>
        <v>4.0951419275215978E-2</v>
      </c>
      <c r="M71" s="34">
        <f t="shared" si="64"/>
        <v>4.0951419275215978E-2</v>
      </c>
      <c r="N71" s="34">
        <f t="shared" si="64"/>
        <v>4.0951419275215978E-2</v>
      </c>
      <c r="O71" s="34">
        <f t="shared" si="64"/>
        <v>4.0951419275215978E-2</v>
      </c>
      <c r="P71" s="34">
        <f t="shared" si="64"/>
        <v>4.0951419275215978E-2</v>
      </c>
    </row>
    <row r="72" spans="1:16" ht="14.25" customHeight="1" x14ac:dyDescent="0.3">
      <c r="A72" s="4"/>
      <c r="B72" s="4"/>
      <c r="C72" s="4" t="s">
        <v>371</v>
      </c>
      <c r="D72" s="6" t="s">
        <v>322</v>
      </c>
      <c r="E72" s="6" t="s">
        <v>39</v>
      </c>
      <c r="F72" s="102">
        <v>0.05</v>
      </c>
      <c r="G72" s="4"/>
      <c r="H72" s="34">
        <f t="shared" ref="H72:H74" si="65">+F72</f>
        <v>0.05</v>
      </c>
      <c r="I72" s="34">
        <f t="shared" ref="I72:P72" si="66">+H72</f>
        <v>0.05</v>
      </c>
      <c r="J72" s="34">
        <f t="shared" si="66"/>
        <v>0.05</v>
      </c>
      <c r="K72" s="34">
        <f t="shared" si="66"/>
        <v>0.05</v>
      </c>
      <c r="L72" s="34">
        <f t="shared" si="66"/>
        <v>0.05</v>
      </c>
      <c r="M72" s="34">
        <f t="shared" si="66"/>
        <v>0.05</v>
      </c>
      <c r="N72" s="34">
        <f t="shared" si="66"/>
        <v>0.05</v>
      </c>
      <c r="O72" s="34">
        <f t="shared" si="66"/>
        <v>0.05</v>
      </c>
      <c r="P72" s="34">
        <f t="shared" si="66"/>
        <v>0.05</v>
      </c>
    </row>
    <row r="73" spans="1:16" ht="14.25" customHeight="1" x14ac:dyDescent="0.3">
      <c r="A73" s="4"/>
      <c r="B73" s="4"/>
      <c r="C73" s="4" t="s">
        <v>372</v>
      </c>
      <c r="D73" s="6" t="s">
        <v>322</v>
      </c>
      <c r="E73" s="6" t="s">
        <v>39</v>
      </c>
      <c r="F73" s="102">
        <v>0.05</v>
      </c>
      <c r="G73" s="4"/>
      <c r="H73" s="34">
        <f t="shared" si="65"/>
        <v>0.05</v>
      </c>
      <c r="I73" s="34">
        <f t="shared" ref="I73:P73" si="67">+H73</f>
        <v>0.05</v>
      </c>
      <c r="J73" s="34">
        <f t="shared" si="67"/>
        <v>0.05</v>
      </c>
      <c r="K73" s="34">
        <f t="shared" si="67"/>
        <v>0.05</v>
      </c>
      <c r="L73" s="34">
        <f t="shared" si="67"/>
        <v>0.05</v>
      </c>
      <c r="M73" s="34">
        <f t="shared" si="67"/>
        <v>0.05</v>
      </c>
      <c r="N73" s="34">
        <f t="shared" si="67"/>
        <v>0.05</v>
      </c>
      <c r="O73" s="34">
        <f t="shared" si="67"/>
        <v>0.05</v>
      </c>
      <c r="P73" s="34">
        <f t="shared" si="67"/>
        <v>0.05</v>
      </c>
    </row>
    <row r="74" spans="1:16" ht="14.25" customHeight="1" x14ac:dyDescent="0.3">
      <c r="A74" s="4"/>
      <c r="B74" s="4"/>
      <c r="C74" s="4" t="s">
        <v>373</v>
      </c>
      <c r="D74" s="6" t="s">
        <v>322</v>
      </c>
      <c r="E74" s="6" t="s">
        <v>39</v>
      </c>
      <c r="F74" s="102">
        <v>4.1219649915302088E-2</v>
      </c>
      <c r="G74" s="4"/>
      <c r="H74" s="34">
        <f t="shared" si="65"/>
        <v>4.1219649915302088E-2</v>
      </c>
      <c r="I74" s="34">
        <f t="shared" ref="I74:P74" si="68">+H74</f>
        <v>4.1219649915302088E-2</v>
      </c>
      <c r="J74" s="34">
        <f t="shared" si="68"/>
        <v>4.1219649915302088E-2</v>
      </c>
      <c r="K74" s="34">
        <f t="shared" si="68"/>
        <v>4.1219649915302088E-2</v>
      </c>
      <c r="L74" s="34">
        <f t="shared" si="68"/>
        <v>4.1219649915302088E-2</v>
      </c>
      <c r="M74" s="34">
        <f t="shared" si="68"/>
        <v>4.1219649915302088E-2</v>
      </c>
      <c r="N74" s="34">
        <f t="shared" si="68"/>
        <v>4.1219649915302088E-2</v>
      </c>
      <c r="O74" s="34">
        <f t="shared" si="68"/>
        <v>4.1219649915302088E-2</v>
      </c>
      <c r="P74" s="34">
        <f t="shared" si="68"/>
        <v>4.1219649915302088E-2</v>
      </c>
    </row>
    <row r="75" spans="1:16" ht="14.25" customHeight="1" x14ac:dyDescent="0.3">
      <c r="A75" s="4"/>
      <c r="B75" s="4"/>
      <c r="C75" s="4" t="s">
        <v>408</v>
      </c>
      <c r="D75" s="6" t="s">
        <v>322</v>
      </c>
      <c r="E75" s="6" t="s">
        <v>39</v>
      </c>
      <c r="F75" s="102">
        <v>3.3333333333333333E-2</v>
      </c>
      <c r="G75" s="4"/>
      <c r="H75" s="34">
        <f t="shared" ref="H75:H119" si="69">+F75</f>
        <v>3.3333333333333333E-2</v>
      </c>
      <c r="I75" s="34">
        <f t="shared" ref="I75:P75" si="70">+H75</f>
        <v>3.3333333333333333E-2</v>
      </c>
      <c r="J75" s="34">
        <f t="shared" si="70"/>
        <v>3.3333333333333333E-2</v>
      </c>
      <c r="K75" s="34">
        <f t="shared" si="70"/>
        <v>3.3333333333333333E-2</v>
      </c>
      <c r="L75" s="34">
        <f t="shared" si="70"/>
        <v>3.3333333333333333E-2</v>
      </c>
      <c r="M75" s="34">
        <f t="shared" si="70"/>
        <v>3.3333333333333333E-2</v>
      </c>
      <c r="N75" s="34">
        <f t="shared" si="70"/>
        <v>3.3333333333333333E-2</v>
      </c>
      <c r="O75" s="34">
        <f t="shared" si="70"/>
        <v>3.3333333333333333E-2</v>
      </c>
      <c r="P75" s="34">
        <f t="shared" si="70"/>
        <v>3.3333333333333333E-2</v>
      </c>
    </row>
    <row r="76" spans="1:16" ht="14.25" customHeight="1" x14ac:dyDescent="0.3">
      <c r="A76" s="4"/>
      <c r="B76" s="4"/>
      <c r="C76" s="4" t="s">
        <v>409</v>
      </c>
      <c r="D76" s="6" t="s">
        <v>322</v>
      </c>
      <c r="E76" s="6" t="s">
        <v>39</v>
      </c>
      <c r="F76" s="102">
        <v>3.3333333333333333E-2</v>
      </c>
      <c r="G76" s="4"/>
      <c r="H76" s="34">
        <f t="shared" si="69"/>
        <v>3.3333333333333333E-2</v>
      </c>
      <c r="I76" s="34">
        <f t="shared" ref="I76:P76" si="71">+H76</f>
        <v>3.3333333333333333E-2</v>
      </c>
      <c r="J76" s="34">
        <f t="shared" si="71"/>
        <v>3.3333333333333333E-2</v>
      </c>
      <c r="K76" s="34">
        <f t="shared" si="71"/>
        <v>3.3333333333333333E-2</v>
      </c>
      <c r="L76" s="34">
        <f t="shared" si="71"/>
        <v>3.3333333333333333E-2</v>
      </c>
      <c r="M76" s="34">
        <f t="shared" si="71"/>
        <v>3.3333333333333333E-2</v>
      </c>
      <c r="N76" s="34">
        <f t="shared" si="71"/>
        <v>3.3333333333333333E-2</v>
      </c>
      <c r="O76" s="34">
        <f t="shared" si="71"/>
        <v>3.3333333333333333E-2</v>
      </c>
      <c r="P76" s="34">
        <f t="shared" si="71"/>
        <v>3.3333333333333333E-2</v>
      </c>
    </row>
    <row r="77" spans="1:16" ht="14.25" customHeight="1" x14ac:dyDescent="0.3">
      <c r="A77" s="4"/>
      <c r="B77" s="4"/>
      <c r="C77" s="4" t="s">
        <v>410</v>
      </c>
      <c r="D77" s="6" t="s">
        <v>322</v>
      </c>
      <c r="E77" s="6" t="s">
        <v>39</v>
      </c>
      <c r="F77" s="102">
        <v>0.33333333333333331</v>
      </c>
      <c r="G77" s="4"/>
      <c r="H77" s="34">
        <f t="shared" si="69"/>
        <v>0.33333333333333331</v>
      </c>
      <c r="I77" s="34">
        <f t="shared" ref="I77:P77" si="72">+H77</f>
        <v>0.33333333333333331</v>
      </c>
      <c r="J77" s="34">
        <f t="shared" si="72"/>
        <v>0.33333333333333331</v>
      </c>
      <c r="K77" s="34">
        <f t="shared" si="72"/>
        <v>0.33333333333333331</v>
      </c>
      <c r="L77" s="34">
        <f t="shared" si="72"/>
        <v>0.33333333333333331</v>
      </c>
      <c r="M77" s="34">
        <f t="shared" si="72"/>
        <v>0.33333333333333331</v>
      </c>
      <c r="N77" s="34">
        <f t="shared" si="72"/>
        <v>0.33333333333333331</v>
      </c>
      <c r="O77" s="34">
        <f t="shared" si="72"/>
        <v>0.33333333333333331</v>
      </c>
      <c r="P77" s="34">
        <f t="shared" si="72"/>
        <v>0.33333333333333331</v>
      </c>
    </row>
    <row r="78" spans="1:16" ht="14.25" customHeight="1" x14ac:dyDescent="0.3">
      <c r="A78" s="4"/>
      <c r="B78" s="4"/>
      <c r="C78" s="4" t="s">
        <v>411</v>
      </c>
      <c r="D78" s="6" t="s">
        <v>322</v>
      </c>
      <c r="E78" s="6" t="s">
        <v>39</v>
      </c>
      <c r="F78" s="102">
        <v>0.33333333333333331</v>
      </c>
      <c r="G78" s="4"/>
      <c r="H78" s="34">
        <f t="shared" si="69"/>
        <v>0.33333333333333331</v>
      </c>
      <c r="I78" s="34">
        <f t="shared" ref="I78:P78" si="73">+H78</f>
        <v>0.33333333333333331</v>
      </c>
      <c r="J78" s="34">
        <f t="shared" si="73"/>
        <v>0.33333333333333331</v>
      </c>
      <c r="K78" s="34">
        <f t="shared" si="73"/>
        <v>0.33333333333333331</v>
      </c>
      <c r="L78" s="34">
        <f t="shared" si="73"/>
        <v>0.33333333333333331</v>
      </c>
      <c r="M78" s="34">
        <f t="shared" si="73"/>
        <v>0.33333333333333331</v>
      </c>
      <c r="N78" s="34">
        <f t="shared" si="73"/>
        <v>0.33333333333333331</v>
      </c>
      <c r="O78" s="34">
        <f t="shared" si="73"/>
        <v>0.33333333333333331</v>
      </c>
      <c r="P78" s="34">
        <f t="shared" si="73"/>
        <v>0.33333333333333331</v>
      </c>
    </row>
    <row r="79" spans="1:16" ht="14.25" customHeight="1" x14ac:dyDescent="0.3">
      <c r="A79" s="4"/>
      <c r="B79" s="4"/>
      <c r="C79" s="4" t="s">
        <v>129</v>
      </c>
      <c r="D79" s="6" t="s">
        <v>322</v>
      </c>
      <c r="E79" s="6" t="s">
        <v>39</v>
      </c>
      <c r="F79" s="102">
        <v>0.33333333333333331</v>
      </c>
      <c r="G79" s="4"/>
      <c r="H79" s="34">
        <f t="shared" si="69"/>
        <v>0.33333333333333331</v>
      </c>
      <c r="I79" s="34">
        <f t="shared" ref="I79:P79" si="74">+H79</f>
        <v>0.33333333333333331</v>
      </c>
      <c r="J79" s="34">
        <f t="shared" si="74"/>
        <v>0.33333333333333331</v>
      </c>
      <c r="K79" s="34">
        <f t="shared" si="74"/>
        <v>0.33333333333333331</v>
      </c>
      <c r="L79" s="34">
        <f t="shared" si="74"/>
        <v>0.33333333333333331</v>
      </c>
      <c r="M79" s="34">
        <f t="shared" si="74"/>
        <v>0.33333333333333331</v>
      </c>
      <c r="N79" s="34">
        <f t="shared" si="74"/>
        <v>0.33333333333333331</v>
      </c>
      <c r="O79" s="34">
        <f t="shared" si="74"/>
        <v>0.33333333333333331</v>
      </c>
      <c r="P79" s="34">
        <f t="shared" si="74"/>
        <v>0.33333333333333331</v>
      </c>
    </row>
    <row r="80" spans="1:16" ht="14.25" customHeight="1" x14ac:dyDescent="0.3">
      <c r="A80" s="4"/>
      <c r="B80" s="4"/>
      <c r="C80" s="4" t="s">
        <v>412</v>
      </c>
      <c r="D80" s="6" t="s">
        <v>322</v>
      </c>
      <c r="E80" s="6" t="s">
        <v>39</v>
      </c>
      <c r="F80" s="102">
        <v>0.05</v>
      </c>
      <c r="G80" s="4"/>
      <c r="H80" s="34">
        <f t="shared" si="69"/>
        <v>0.05</v>
      </c>
      <c r="I80" s="34">
        <f t="shared" ref="I80:P80" si="75">+H80</f>
        <v>0.05</v>
      </c>
      <c r="J80" s="34">
        <f t="shared" si="75"/>
        <v>0.05</v>
      </c>
      <c r="K80" s="34">
        <f t="shared" si="75"/>
        <v>0.05</v>
      </c>
      <c r="L80" s="34">
        <f t="shared" si="75"/>
        <v>0.05</v>
      </c>
      <c r="M80" s="34">
        <f t="shared" si="75"/>
        <v>0.05</v>
      </c>
      <c r="N80" s="34">
        <f t="shared" si="75"/>
        <v>0.05</v>
      </c>
      <c r="O80" s="34">
        <f t="shared" si="75"/>
        <v>0.05</v>
      </c>
      <c r="P80" s="34">
        <f t="shared" si="75"/>
        <v>0.05</v>
      </c>
    </row>
    <row r="81" spans="1:16" ht="14.25" customHeight="1" x14ac:dyDescent="0.3">
      <c r="A81" s="4"/>
      <c r="B81" s="4"/>
      <c r="C81" s="4" t="s">
        <v>413</v>
      </c>
      <c r="D81" s="6" t="s">
        <v>322</v>
      </c>
      <c r="E81" s="6" t="s">
        <v>39</v>
      </c>
      <c r="F81" s="102">
        <v>4.0956014362657091E-2</v>
      </c>
      <c r="G81" s="4"/>
      <c r="H81" s="34">
        <f t="shared" si="69"/>
        <v>4.0956014362657091E-2</v>
      </c>
      <c r="I81" s="34">
        <f t="shared" ref="I81:P81" si="76">+H81</f>
        <v>4.0956014362657091E-2</v>
      </c>
      <c r="J81" s="34">
        <f t="shared" si="76"/>
        <v>4.0956014362657091E-2</v>
      </c>
      <c r="K81" s="34">
        <f t="shared" si="76"/>
        <v>4.0956014362657091E-2</v>
      </c>
      <c r="L81" s="34">
        <f t="shared" si="76"/>
        <v>4.0956014362657091E-2</v>
      </c>
      <c r="M81" s="34">
        <f t="shared" si="76"/>
        <v>4.0956014362657091E-2</v>
      </c>
      <c r="N81" s="34">
        <f t="shared" si="76"/>
        <v>4.0956014362657091E-2</v>
      </c>
      <c r="O81" s="34">
        <f t="shared" si="76"/>
        <v>4.0956014362657091E-2</v>
      </c>
      <c r="P81" s="34">
        <f t="shared" si="76"/>
        <v>4.0956014362657091E-2</v>
      </c>
    </row>
    <row r="82" spans="1:16" ht="14.25" customHeight="1" x14ac:dyDescent="0.3">
      <c r="A82" s="4"/>
      <c r="B82" s="4"/>
      <c r="C82" s="4" t="s">
        <v>414</v>
      </c>
      <c r="D82" s="6" t="s">
        <v>322</v>
      </c>
      <c r="E82" s="6" t="s">
        <v>39</v>
      </c>
      <c r="F82" s="102">
        <v>4.0956014362657091E-2</v>
      </c>
      <c r="G82" s="4"/>
      <c r="H82" s="34">
        <f t="shared" si="69"/>
        <v>4.0956014362657091E-2</v>
      </c>
      <c r="I82" s="34">
        <f t="shared" ref="I82:P82" si="77">+H82</f>
        <v>4.0956014362657091E-2</v>
      </c>
      <c r="J82" s="34">
        <f t="shared" si="77"/>
        <v>4.0956014362657091E-2</v>
      </c>
      <c r="K82" s="34">
        <f t="shared" si="77"/>
        <v>4.0956014362657091E-2</v>
      </c>
      <c r="L82" s="34">
        <f t="shared" si="77"/>
        <v>4.0956014362657091E-2</v>
      </c>
      <c r="M82" s="34">
        <f t="shared" si="77"/>
        <v>4.0956014362657091E-2</v>
      </c>
      <c r="N82" s="34">
        <f t="shared" si="77"/>
        <v>4.0956014362657091E-2</v>
      </c>
      <c r="O82" s="34">
        <f t="shared" si="77"/>
        <v>4.0956014362657091E-2</v>
      </c>
      <c r="P82" s="34">
        <f t="shared" si="77"/>
        <v>4.0956014362657091E-2</v>
      </c>
    </row>
    <row r="83" spans="1:16" ht="14.25" customHeight="1" x14ac:dyDescent="0.3">
      <c r="A83" s="4"/>
      <c r="B83" s="4"/>
      <c r="C83" s="4" t="s">
        <v>415</v>
      </c>
      <c r="D83" s="6" t="s">
        <v>322</v>
      </c>
      <c r="E83" s="6" t="s">
        <v>39</v>
      </c>
      <c r="F83" s="102">
        <v>4.0956014362657091E-2</v>
      </c>
      <c r="G83" s="4"/>
      <c r="H83" s="34">
        <f t="shared" si="69"/>
        <v>4.0956014362657091E-2</v>
      </c>
      <c r="I83" s="34">
        <f t="shared" ref="I83:P83" si="78">+H83</f>
        <v>4.0956014362657091E-2</v>
      </c>
      <c r="J83" s="34">
        <f t="shared" si="78"/>
        <v>4.0956014362657091E-2</v>
      </c>
      <c r="K83" s="34">
        <f t="shared" si="78"/>
        <v>4.0956014362657091E-2</v>
      </c>
      <c r="L83" s="34">
        <f t="shared" si="78"/>
        <v>4.0956014362657091E-2</v>
      </c>
      <c r="M83" s="34">
        <f t="shared" si="78"/>
        <v>4.0956014362657091E-2</v>
      </c>
      <c r="N83" s="34">
        <f t="shared" si="78"/>
        <v>4.0956014362657091E-2</v>
      </c>
      <c r="O83" s="34">
        <f t="shared" si="78"/>
        <v>4.0956014362657091E-2</v>
      </c>
      <c r="P83" s="34">
        <f t="shared" si="78"/>
        <v>4.0956014362657091E-2</v>
      </c>
    </row>
    <row r="84" spans="1:16" ht="14.25" customHeight="1" x14ac:dyDescent="0.3">
      <c r="A84" s="4"/>
      <c r="B84" s="4"/>
      <c r="C84" s="4" t="s">
        <v>416</v>
      </c>
      <c r="D84" s="6" t="s">
        <v>322</v>
      </c>
      <c r="E84" s="6" t="s">
        <v>39</v>
      </c>
      <c r="F84" s="102">
        <v>4.0956014362657091E-2</v>
      </c>
      <c r="G84" s="4"/>
      <c r="H84" s="34">
        <f t="shared" si="69"/>
        <v>4.0956014362657091E-2</v>
      </c>
      <c r="I84" s="34">
        <f t="shared" ref="I84:P84" si="79">+H84</f>
        <v>4.0956014362657091E-2</v>
      </c>
      <c r="J84" s="34">
        <f t="shared" si="79"/>
        <v>4.0956014362657091E-2</v>
      </c>
      <c r="K84" s="34">
        <f t="shared" si="79"/>
        <v>4.0956014362657091E-2</v>
      </c>
      <c r="L84" s="34">
        <f t="shared" si="79"/>
        <v>4.0956014362657091E-2</v>
      </c>
      <c r="M84" s="34">
        <f t="shared" si="79"/>
        <v>4.0956014362657091E-2</v>
      </c>
      <c r="N84" s="34">
        <f t="shared" si="79"/>
        <v>4.0956014362657091E-2</v>
      </c>
      <c r="O84" s="34">
        <f t="shared" si="79"/>
        <v>4.0956014362657091E-2</v>
      </c>
      <c r="P84" s="34">
        <f t="shared" si="79"/>
        <v>4.0956014362657091E-2</v>
      </c>
    </row>
    <row r="85" spans="1:16" ht="14.25" customHeight="1" x14ac:dyDescent="0.3">
      <c r="A85" s="4"/>
      <c r="B85" s="4"/>
      <c r="C85" s="4" t="s">
        <v>417</v>
      </c>
      <c r="D85" s="6" t="s">
        <v>322</v>
      </c>
      <c r="E85" s="6" t="s">
        <v>39</v>
      </c>
      <c r="F85" s="102">
        <v>3.9760348583877995E-2</v>
      </c>
      <c r="G85" s="4"/>
      <c r="H85" s="34">
        <f t="shared" si="69"/>
        <v>3.9760348583877995E-2</v>
      </c>
      <c r="I85" s="34">
        <f t="shared" ref="I85:P85" si="80">+H85</f>
        <v>3.9760348583877995E-2</v>
      </c>
      <c r="J85" s="34">
        <f t="shared" si="80"/>
        <v>3.9760348583877995E-2</v>
      </c>
      <c r="K85" s="34">
        <f t="shared" si="80"/>
        <v>3.9760348583877995E-2</v>
      </c>
      <c r="L85" s="34">
        <f t="shared" si="80"/>
        <v>3.9760348583877995E-2</v>
      </c>
      <c r="M85" s="34">
        <f t="shared" si="80"/>
        <v>3.9760348583877995E-2</v>
      </c>
      <c r="N85" s="34">
        <f t="shared" si="80"/>
        <v>3.9760348583877995E-2</v>
      </c>
      <c r="O85" s="34">
        <f t="shared" si="80"/>
        <v>3.9760348583877995E-2</v>
      </c>
      <c r="P85" s="34">
        <f t="shared" si="80"/>
        <v>3.9760348583877995E-2</v>
      </c>
    </row>
    <row r="86" spans="1:16" ht="14.25" customHeight="1" x14ac:dyDescent="0.3">
      <c r="A86" s="4"/>
      <c r="B86" s="4"/>
      <c r="C86" s="4" t="s">
        <v>418</v>
      </c>
      <c r="D86" s="6" t="s">
        <v>322</v>
      </c>
      <c r="E86" s="6" t="s">
        <v>39</v>
      </c>
      <c r="F86" s="102">
        <v>4.0956014362657091E-2</v>
      </c>
      <c r="G86" s="4"/>
      <c r="H86" s="34">
        <f t="shared" si="69"/>
        <v>4.0956014362657091E-2</v>
      </c>
      <c r="I86" s="34">
        <f t="shared" ref="I86:P86" si="81">+H86</f>
        <v>4.0956014362657091E-2</v>
      </c>
      <c r="J86" s="34">
        <f t="shared" si="81"/>
        <v>4.0956014362657091E-2</v>
      </c>
      <c r="K86" s="34">
        <f t="shared" si="81"/>
        <v>4.0956014362657091E-2</v>
      </c>
      <c r="L86" s="34">
        <f t="shared" si="81"/>
        <v>4.0956014362657091E-2</v>
      </c>
      <c r="M86" s="34">
        <f t="shared" si="81"/>
        <v>4.0956014362657091E-2</v>
      </c>
      <c r="N86" s="34">
        <f t="shared" si="81"/>
        <v>4.0956014362657091E-2</v>
      </c>
      <c r="O86" s="34">
        <f t="shared" si="81"/>
        <v>4.0956014362657091E-2</v>
      </c>
      <c r="P86" s="34">
        <f t="shared" si="81"/>
        <v>4.0956014362657091E-2</v>
      </c>
    </row>
    <row r="87" spans="1:16" ht="14.25" customHeight="1" x14ac:dyDescent="0.3">
      <c r="A87" s="4"/>
      <c r="B87" s="4"/>
      <c r="C87" s="4" t="s">
        <v>419</v>
      </c>
      <c r="D87" s="6" t="s">
        <v>322</v>
      </c>
      <c r="E87" s="6" t="s">
        <v>39</v>
      </c>
      <c r="F87" s="102">
        <v>4.0956014362657091E-2</v>
      </c>
      <c r="G87" s="4"/>
      <c r="H87" s="34">
        <f t="shared" si="69"/>
        <v>4.0956014362657091E-2</v>
      </c>
      <c r="I87" s="34">
        <f t="shared" ref="I87:P87" si="82">+H87</f>
        <v>4.0956014362657091E-2</v>
      </c>
      <c r="J87" s="34">
        <f t="shared" si="82"/>
        <v>4.0956014362657091E-2</v>
      </c>
      <c r="K87" s="34">
        <f t="shared" si="82"/>
        <v>4.0956014362657091E-2</v>
      </c>
      <c r="L87" s="34">
        <f t="shared" si="82"/>
        <v>4.0956014362657091E-2</v>
      </c>
      <c r="M87" s="34">
        <f t="shared" si="82"/>
        <v>4.0956014362657091E-2</v>
      </c>
      <c r="N87" s="34">
        <f t="shared" si="82"/>
        <v>4.0956014362657091E-2</v>
      </c>
      <c r="O87" s="34">
        <f t="shared" si="82"/>
        <v>4.0956014362657091E-2</v>
      </c>
      <c r="P87" s="34">
        <f t="shared" si="82"/>
        <v>4.0956014362657091E-2</v>
      </c>
    </row>
    <row r="88" spans="1:16" ht="14.25" customHeight="1" x14ac:dyDescent="0.3">
      <c r="A88" s="4"/>
      <c r="B88" s="4"/>
      <c r="C88" s="4" t="s">
        <v>420</v>
      </c>
      <c r="D88" s="6" t="s">
        <v>322</v>
      </c>
      <c r="E88" s="6" t="s">
        <v>39</v>
      </c>
      <c r="F88" s="102">
        <v>4.0956014362657091E-2</v>
      </c>
      <c r="G88" s="4"/>
      <c r="H88" s="34">
        <f t="shared" si="69"/>
        <v>4.0956014362657091E-2</v>
      </c>
      <c r="I88" s="34">
        <f t="shared" ref="I88:P88" si="83">+H88</f>
        <v>4.0956014362657091E-2</v>
      </c>
      <c r="J88" s="34">
        <f t="shared" si="83"/>
        <v>4.0956014362657091E-2</v>
      </c>
      <c r="K88" s="34">
        <f t="shared" si="83"/>
        <v>4.0956014362657091E-2</v>
      </c>
      <c r="L88" s="34">
        <f t="shared" si="83"/>
        <v>4.0956014362657091E-2</v>
      </c>
      <c r="M88" s="34">
        <f t="shared" si="83"/>
        <v>4.0956014362657091E-2</v>
      </c>
      <c r="N88" s="34">
        <f t="shared" si="83"/>
        <v>4.0956014362657091E-2</v>
      </c>
      <c r="O88" s="34">
        <f t="shared" si="83"/>
        <v>4.0956014362657091E-2</v>
      </c>
      <c r="P88" s="34">
        <f t="shared" si="83"/>
        <v>4.0956014362657091E-2</v>
      </c>
    </row>
    <row r="89" spans="1:16" ht="14.25" customHeight="1" x14ac:dyDescent="0.3">
      <c r="A89" s="4"/>
      <c r="B89" s="4"/>
      <c r="C89" s="4" t="s">
        <v>421</v>
      </c>
      <c r="D89" s="6" t="s">
        <v>322</v>
      </c>
      <c r="E89" s="6" t="s">
        <v>39</v>
      </c>
      <c r="F89" s="102">
        <v>4.0956014362657091E-2</v>
      </c>
      <c r="G89" s="4"/>
      <c r="H89" s="34">
        <f t="shared" si="69"/>
        <v>4.0956014362657091E-2</v>
      </c>
      <c r="I89" s="34">
        <f t="shared" ref="I89:P89" si="84">+H89</f>
        <v>4.0956014362657091E-2</v>
      </c>
      <c r="J89" s="34">
        <f t="shared" si="84"/>
        <v>4.0956014362657091E-2</v>
      </c>
      <c r="K89" s="34">
        <f t="shared" si="84"/>
        <v>4.0956014362657091E-2</v>
      </c>
      <c r="L89" s="34">
        <f t="shared" si="84"/>
        <v>4.0956014362657091E-2</v>
      </c>
      <c r="M89" s="34">
        <f t="shared" si="84"/>
        <v>4.0956014362657091E-2</v>
      </c>
      <c r="N89" s="34">
        <f t="shared" si="84"/>
        <v>4.0956014362657091E-2</v>
      </c>
      <c r="O89" s="34">
        <f t="shared" si="84"/>
        <v>4.0956014362657091E-2</v>
      </c>
      <c r="P89" s="34">
        <f t="shared" si="84"/>
        <v>4.0956014362657091E-2</v>
      </c>
    </row>
    <row r="90" spans="1:16" ht="14.25" customHeight="1" x14ac:dyDescent="0.3">
      <c r="A90" s="4"/>
      <c r="B90" s="4"/>
      <c r="C90" s="4" t="s">
        <v>422</v>
      </c>
      <c r="D90" s="6" t="s">
        <v>322</v>
      </c>
      <c r="E90" s="6" t="s">
        <v>39</v>
      </c>
      <c r="F90" s="102">
        <v>4.0956014362657091E-2</v>
      </c>
      <c r="G90" s="4"/>
      <c r="H90" s="34">
        <f t="shared" si="69"/>
        <v>4.0956014362657091E-2</v>
      </c>
      <c r="I90" s="34">
        <f t="shared" ref="I90:P90" si="85">+H90</f>
        <v>4.0956014362657091E-2</v>
      </c>
      <c r="J90" s="34">
        <f t="shared" si="85"/>
        <v>4.0956014362657091E-2</v>
      </c>
      <c r="K90" s="34">
        <f t="shared" si="85"/>
        <v>4.0956014362657091E-2</v>
      </c>
      <c r="L90" s="34">
        <f t="shared" si="85"/>
        <v>4.0956014362657091E-2</v>
      </c>
      <c r="M90" s="34">
        <f t="shared" si="85"/>
        <v>4.0956014362657091E-2</v>
      </c>
      <c r="N90" s="34">
        <f t="shared" si="85"/>
        <v>4.0956014362657091E-2</v>
      </c>
      <c r="O90" s="34">
        <f t="shared" si="85"/>
        <v>4.0956014362657091E-2</v>
      </c>
      <c r="P90" s="34">
        <f t="shared" si="85"/>
        <v>4.0956014362657091E-2</v>
      </c>
    </row>
    <row r="91" spans="1:16" ht="14.25" customHeight="1" x14ac:dyDescent="0.3">
      <c r="A91" s="4"/>
      <c r="B91" s="4"/>
      <c r="C91" s="4" t="s">
        <v>423</v>
      </c>
      <c r="D91" s="6" t="s">
        <v>322</v>
      </c>
      <c r="E91" s="6" t="s">
        <v>39</v>
      </c>
      <c r="F91" s="102">
        <v>4.0956014362657091E-2</v>
      </c>
      <c r="G91" s="4"/>
      <c r="H91" s="34">
        <f t="shared" si="69"/>
        <v>4.0956014362657091E-2</v>
      </c>
      <c r="I91" s="34">
        <f t="shared" ref="I91:P91" si="86">+H91</f>
        <v>4.0956014362657091E-2</v>
      </c>
      <c r="J91" s="34">
        <f t="shared" si="86"/>
        <v>4.0956014362657091E-2</v>
      </c>
      <c r="K91" s="34">
        <f t="shared" si="86"/>
        <v>4.0956014362657091E-2</v>
      </c>
      <c r="L91" s="34">
        <f t="shared" si="86"/>
        <v>4.0956014362657091E-2</v>
      </c>
      <c r="M91" s="34">
        <f t="shared" si="86"/>
        <v>4.0956014362657091E-2</v>
      </c>
      <c r="N91" s="34">
        <f t="shared" si="86"/>
        <v>4.0956014362657091E-2</v>
      </c>
      <c r="O91" s="34">
        <f t="shared" si="86"/>
        <v>4.0956014362657091E-2</v>
      </c>
      <c r="P91" s="34">
        <f t="shared" si="86"/>
        <v>4.0956014362657091E-2</v>
      </c>
    </row>
    <row r="92" spans="1:16" ht="14.25" customHeight="1" x14ac:dyDescent="0.3">
      <c r="A92" s="4"/>
      <c r="B92" s="4"/>
      <c r="C92" s="4" t="s">
        <v>424</v>
      </c>
      <c r="D92" s="6" t="s">
        <v>322</v>
      </c>
      <c r="E92" s="6" t="s">
        <v>39</v>
      </c>
      <c r="F92" s="102">
        <v>4.0956014362657091E-2</v>
      </c>
      <c r="G92" s="4"/>
      <c r="H92" s="34">
        <f t="shared" si="69"/>
        <v>4.0956014362657091E-2</v>
      </c>
      <c r="I92" s="34">
        <f t="shared" ref="I92:P92" si="87">+H92</f>
        <v>4.0956014362657091E-2</v>
      </c>
      <c r="J92" s="34">
        <f t="shared" si="87"/>
        <v>4.0956014362657091E-2</v>
      </c>
      <c r="K92" s="34">
        <f t="shared" si="87"/>
        <v>4.0956014362657091E-2</v>
      </c>
      <c r="L92" s="34">
        <f t="shared" si="87"/>
        <v>4.0956014362657091E-2</v>
      </c>
      <c r="M92" s="34">
        <f t="shared" si="87"/>
        <v>4.0956014362657091E-2</v>
      </c>
      <c r="N92" s="34">
        <f t="shared" si="87"/>
        <v>4.0956014362657091E-2</v>
      </c>
      <c r="O92" s="34">
        <f t="shared" si="87"/>
        <v>4.0956014362657091E-2</v>
      </c>
      <c r="P92" s="34">
        <f t="shared" si="87"/>
        <v>4.0956014362657091E-2</v>
      </c>
    </row>
    <row r="93" spans="1:16" ht="14.25" customHeight="1" x14ac:dyDescent="0.3">
      <c r="A93" s="4"/>
      <c r="B93" s="4"/>
      <c r="C93" s="4" t="s">
        <v>425</v>
      </c>
      <c r="D93" s="6" t="s">
        <v>322</v>
      </c>
      <c r="E93" s="6" t="s">
        <v>39</v>
      </c>
      <c r="F93" s="102">
        <v>4.0956014362657091E-2</v>
      </c>
      <c r="G93" s="4"/>
      <c r="H93" s="34">
        <f t="shared" si="69"/>
        <v>4.0956014362657091E-2</v>
      </c>
      <c r="I93" s="34">
        <f t="shared" ref="I93:P93" si="88">+H93</f>
        <v>4.0956014362657091E-2</v>
      </c>
      <c r="J93" s="34">
        <f t="shared" si="88"/>
        <v>4.0956014362657091E-2</v>
      </c>
      <c r="K93" s="34">
        <f t="shared" si="88"/>
        <v>4.0956014362657091E-2</v>
      </c>
      <c r="L93" s="34">
        <f t="shared" si="88"/>
        <v>4.0956014362657091E-2</v>
      </c>
      <c r="M93" s="34">
        <f t="shared" si="88"/>
        <v>4.0956014362657091E-2</v>
      </c>
      <c r="N93" s="34">
        <f t="shared" si="88"/>
        <v>4.0956014362657091E-2</v>
      </c>
      <c r="O93" s="34">
        <f t="shared" si="88"/>
        <v>4.0956014362657091E-2</v>
      </c>
      <c r="P93" s="34">
        <f t="shared" si="88"/>
        <v>4.0956014362657091E-2</v>
      </c>
    </row>
    <row r="94" spans="1:16" ht="14.25" customHeight="1" x14ac:dyDescent="0.3">
      <c r="A94" s="4"/>
      <c r="B94" s="4"/>
      <c r="C94" s="4" t="s">
        <v>426</v>
      </c>
      <c r="D94" s="6" t="s">
        <v>322</v>
      </c>
      <c r="E94" s="6" t="s">
        <v>39</v>
      </c>
      <c r="F94" s="102">
        <v>4.0956014362657091E-2</v>
      </c>
      <c r="G94" s="4"/>
      <c r="H94" s="34">
        <f t="shared" si="69"/>
        <v>4.0956014362657091E-2</v>
      </c>
      <c r="I94" s="34">
        <f t="shared" ref="I94:P94" si="89">+H94</f>
        <v>4.0956014362657091E-2</v>
      </c>
      <c r="J94" s="34">
        <f t="shared" si="89"/>
        <v>4.0956014362657091E-2</v>
      </c>
      <c r="K94" s="34">
        <f t="shared" si="89"/>
        <v>4.0956014362657091E-2</v>
      </c>
      <c r="L94" s="34">
        <f t="shared" si="89"/>
        <v>4.0956014362657091E-2</v>
      </c>
      <c r="M94" s="34">
        <f t="shared" si="89"/>
        <v>4.0956014362657091E-2</v>
      </c>
      <c r="N94" s="34">
        <f t="shared" si="89"/>
        <v>4.0956014362657091E-2</v>
      </c>
      <c r="O94" s="34">
        <f t="shared" si="89"/>
        <v>4.0956014362657091E-2</v>
      </c>
      <c r="P94" s="34">
        <f t="shared" si="89"/>
        <v>4.0956014362657091E-2</v>
      </c>
    </row>
    <row r="95" spans="1:16" ht="14.25" customHeight="1" x14ac:dyDescent="0.3">
      <c r="A95" s="4"/>
      <c r="B95" s="4"/>
      <c r="C95" s="4" t="s">
        <v>427</v>
      </c>
      <c r="D95" s="6" t="s">
        <v>322</v>
      </c>
      <c r="E95" s="6" t="s">
        <v>39</v>
      </c>
      <c r="F95" s="102">
        <v>4.0956014362657091E-2</v>
      </c>
      <c r="G95" s="4"/>
      <c r="H95" s="34">
        <f t="shared" si="69"/>
        <v>4.0956014362657091E-2</v>
      </c>
      <c r="I95" s="34">
        <f t="shared" ref="I95:P95" si="90">+H95</f>
        <v>4.0956014362657091E-2</v>
      </c>
      <c r="J95" s="34">
        <f t="shared" si="90"/>
        <v>4.0956014362657091E-2</v>
      </c>
      <c r="K95" s="34">
        <f t="shared" si="90"/>
        <v>4.0956014362657091E-2</v>
      </c>
      <c r="L95" s="34">
        <f t="shared" si="90"/>
        <v>4.0956014362657091E-2</v>
      </c>
      <c r="M95" s="34">
        <f t="shared" si="90"/>
        <v>4.0956014362657091E-2</v>
      </c>
      <c r="N95" s="34">
        <f t="shared" si="90"/>
        <v>4.0956014362657091E-2</v>
      </c>
      <c r="O95" s="34">
        <f t="shared" si="90"/>
        <v>4.0956014362657091E-2</v>
      </c>
      <c r="P95" s="34">
        <f t="shared" si="90"/>
        <v>4.0956014362657091E-2</v>
      </c>
    </row>
    <row r="96" spans="1:16" ht="14.25" customHeight="1" x14ac:dyDescent="0.3">
      <c r="A96" s="4"/>
      <c r="B96" s="4"/>
      <c r="C96" s="4" t="s">
        <v>428</v>
      </c>
      <c r="D96" s="6" t="s">
        <v>322</v>
      </c>
      <c r="E96" s="6" t="s">
        <v>39</v>
      </c>
      <c r="F96" s="102">
        <v>4.0956014362657091E-2</v>
      </c>
      <c r="G96" s="4"/>
      <c r="H96" s="34">
        <f t="shared" si="69"/>
        <v>4.0956014362657091E-2</v>
      </c>
      <c r="I96" s="34">
        <f t="shared" ref="I96:P96" si="91">+H96</f>
        <v>4.0956014362657091E-2</v>
      </c>
      <c r="J96" s="34">
        <f t="shared" si="91"/>
        <v>4.0956014362657091E-2</v>
      </c>
      <c r="K96" s="34">
        <f t="shared" si="91"/>
        <v>4.0956014362657091E-2</v>
      </c>
      <c r="L96" s="34">
        <f t="shared" si="91"/>
        <v>4.0956014362657091E-2</v>
      </c>
      <c r="M96" s="34">
        <f t="shared" si="91"/>
        <v>4.0956014362657091E-2</v>
      </c>
      <c r="N96" s="34">
        <f t="shared" si="91"/>
        <v>4.0956014362657091E-2</v>
      </c>
      <c r="O96" s="34">
        <f t="shared" si="91"/>
        <v>4.0956014362657091E-2</v>
      </c>
      <c r="P96" s="34">
        <f t="shared" si="91"/>
        <v>4.0956014362657091E-2</v>
      </c>
    </row>
    <row r="97" spans="1:16" ht="14.25" customHeight="1" x14ac:dyDescent="0.3">
      <c r="A97" s="4"/>
      <c r="B97" s="4"/>
      <c r="C97" s="4" t="s">
        <v>429</v>
      </c>
      <c r="D97" s="6" t="s">
        <v>322</v>
      </c>
      <c r="E97" s="6" t="s">
        <v>39</v>
      </c>
      <c r="F97" s="102">
        <v>4.0956014362657091E-2</v>
      </c>
      <c r="G97" s="4"/>
      <c r="H97" s="34">
        <f t="shared" si="69"/>
        <v>4.0956014362657091E-2</v>
      </c>
      <c r="I97" s="34">
        <f t="shared" ref="I97:P97" si="92">+H97</f>
        <v>4.0956014362657091E-2</v>
      </c>
      <c r="J97" s="34">
        <f t="shared" si="92"/>
        <v>4.0956014362657091E-2</v>
      </c>
      <c r="K97" s="34">
        <f t="shared" si="92"/>
        <v>4.0956014362657091E-2</v>
      </c>
      <c r="L97" s="34">
        <f t="shared" si="92"/>
        <v>4.0956014362657091E-2</v>
      </c>
      <c r="M97" s="34">
        <f t="shared" si="92"/>
        <v>4.0956014362657091E-2</v>
      </c>
      <c r="N97" s="34">
        <f t="shared" si="92"/>
        <v>4.0956014362657091E-2</v>
      </c>
      <c r="O97" s="34">
        <f t="shared" si="92"/>
        <v>4.0956014362657091E-2</v>
      </c>
      <c r="P97" s="34">
        <f t="shared" si="92"/>
        <v>4.0956014362657091E-2</v>
      </c>
    </row>
    <row r="98" spans="1:16" ht="14.25" customHeight="1" x14ac:dyDescent="0.3">
      <c r="A98" s="4"/>
      <c r="B98" s="4"/>
      <c r="C98" s="4" t="s">
        <v>430</v>
      </c>
      <c r="D98" s="6" t="s">
        <v>322</v>
      </c>
      <c r="E98" s="6" t="s">
        <v>39</v>
      </c>
      <c r="F98" s="102">
        <v>4.0956014362657091E-2</v>
      </c>
      <c r="G98" s="4"/>
      <c r="H98" s="34">
        <f t="shared" si="69"/>
        <v>4.0956014362657091E-2</v>
      </c>
      <c r="I98" s="34">
        <f t="shared" ref="I98:P98" si="93">+H98</f>
        <v>4.0956014362657091E-2</v>
      </c>
      <c r="J98" s="34">
        <f t="shared" si="93"/>
        <v>4.0956014362657091E-2</v>
      </c>
      <c r="K98" s="34">
        <f t="shared" si="93"/>
        <v>4.0956014362657091E-2</v>
      </c>
      <c r="L98" s="34">
        <f t="shared" si="93"/>
        <v>4.0956014362657091E-2</v>
      </c>
      <c r="M98" s="34">
        <f t="shared" si="93"/>
        <v>4.0956014362657091E-2</v>
      </c>
      <c r="N98" s="34">
        <f t="shared" si="93"/>
        <v>4.0956014362657091E-2</v>
      </c>
      <c r="O98" s="34">
        <f t="shared" si="93"/>
        <v>4.0956014362657091E-2</v>
      </c>
      <c r="P98" s="34">
        <f t="shared" si="93"/>
        <v>4.0956014362657091E-2</v>
      </c>
    </row>
    <row r="99" spans="1:16" ht="14.25" customHeight="1" x14ac:dyDescent="0.3">
      <c r="A99" s="4"/>
      <c r="B99" s="4"/>
      <c r="C99" s="4" t="s">
        <v>431</v>
      </c>
      <c r="D99" s="6" t="s">
        <v>322</v>
      </c>
      <c r="E99" s="6" t="s">
        <v>39</v>
      </c>
      <c r="F99" s="102">
        <v>4.0956014362657091E-2</v>
      </c>
      <c r="G99" s="4"/>
      <c r="H99" s="34">
        <f t="shared" si="69"/>
        <v>4.0956014362657091E-2</v>
      </c>
      <c r="I99" s="34">
        <f t="shared" ref="I99:P99" si="94">+H99</f>
        <v>4.0956014362657091E-2</v>
      </c>
      <c r="J99" s="34">
        <f t="shared" si="94"/>
        <v>4.0956014362657091E-2</v>
      </c>
      <c r="K99" s="34">
        <f t="shared" si="94"/>
        <v>4.0956014362657091E-2</v>
      </c>
      <c r="L99" s="34">
        <f t="shared" si="94"/>
        <v>4.0956014362657091E-2</v>
      </c>
      <c r="M99" s="34">
        <f t="shared" si="94"/>
        <v>4.0956014362657091E-2</v>
      </c>
      <c r="N99" s="34">
        <f t="shared" si="94"/>
        <v>4.0956014362657091E-2</v>
      </c>
      <c r="O99" s="34">
        <f t="shared" si="94"/>
        <v>4.0956014362657091E-2</v>
      </c>
      <c r="P99" s="34">
        <f t="shared" si="94"/>
        <v>4.0956014362657091E-2</v>
      </c>
    </row>
    <row r="100" spans="1:16" ht="14.25" customHeight="1" x14ac:dyDescent="0.3">
      <c r="A100" s="4"/>
      <c r="B100" s="4"/>
      <c r="C100" s="4" t="s">
        <v>432</v>
      </c>
      <c r="D100" s="6" t="s">
        <v>322</v>
      </c>
      <c r="E100" s="6" t="s">
        <v>39</v>
      </c>
      <c r="F100" s="102">
        <v>4.0956014362657091E-2</v>
      </c>
      <c r="G100" s="4"/>
      <c r="H100" s="34">
        <f t="shared" si="69"/>
        <v>4.0956014362657091E-2</v>
      </c>
      <c r="I100" s="34">
        <f t="shared" ref="I100:P100" si="95">+H100</f>
        <v>4.0956014362657091E-2</v>
      </c>
      <c r="J100" s="34">
        <f t="shared" si="95"/>
        <v>4.0956014362657091E-2</v>
      </c>
      <c r="K100" s="34">
        <f t="shared" si="95"/>
        <v>4.0956014362657091E-2</v>
      </c>
      <c r="L100" s="34">
        <f t="shared" si="95"/>
        <v>4.0956014362657091E-2</v>
      </c>
      <c r="M100" s="34">
        <f t="shared" si="95"/>
        <v>4.0956014362657091E-2</v>
      </c>
      <c r="N100" s="34">
        <f t="shared" si="95"/>
        <v>4.0956014362657091E-2</v>
      </c>
      <c r="O100" s="34">
        <f t="shared" si="95"/>
        <v>4.0956014362657091E-2</v>
      </c>
      <c r="P100" s="34">
        <f t="shared" si="95"/>
        <v>4.0956014362657091E-2</v>
      </c>
    </row>
    <row r="101" spans="1:16" ht="14.25" customHeight="1" x14ac:dyDescent="0.3">
      <c r="A101" s="4"/>
      <c r="B101" s="4"/>
      <c r="C101" s="4" t="s">
        <v>433</v>
      </c>
      <c r="D101" s="6" t="s">
        <v>322</v>
      </c>
      <c r="E101" s="6" t="s">
        <v>39</v>
      </c>
      <c r="F101" s="102">
        <v>4.0956014362657091E-2</v>
      </c>
      <c r="G101" s="4"/>
      <c r="H101" s="34">
        <f t="shared" si="69"/>
        <v>4.0956014362657091E-2</v>
      </c>
      <c r="I101" s="34">
        <f t="shared" ref="I101:P101" si="96">+H101</f>
        <v>4.0956014362657091E-2</v>
      </c>
      <c r="J101" s="34">
        <f t="shared" si="96"/>
        <v>4.0956014362657091E-2</v>
      </c>
      <c r="K101" s="34">
        <f t="shared" si="96"/>
        <v>4.0956014362657091E-2</v>
      </c>
      <c r="L101" s="34">
        <f t="shared" si="96"/>
        <v>4.0956014362657091E-2</v>
      </c>
      <c r="M101" s="34">
        <f t="shared" si="96"/>
        <v>4.0956014362657091E-2</v>
      </c>
      <c r="N101" s="34">
        <f t="shared" si="96"/>
        <v>4.0956014362657091E-2</v>
      </c>
      <c r="O101" s="34">
        <f t="shared" si="96"/>
        <v>4.0956014362657091E-2</v>
      </c>
      <c r="P101" s="34">
        <f t="shared" si="96"/>
        <v>4.0956014362657091E-2</v>
      </c>
    </row>
    <row r="102" spans="1:16" ht="14.25" customHeight="1" x14ac:dyDescent="0.3">
      <c r="A102" s="4"/>
      <c r="B102" s="4"/>
      <c r="C102" s="4" t="s">
        <v>434</v>
      </c>
      <c r="D102" s="6" t="s">
        <v>322</v>
      </c>
      <c r="E102" s="6" t="s">
        <v>39</v>
      </c>
      <c r="F102" s="102">
        <v>4.0956014362657091E-2</v>
      </c>
      <c r="G102" s="4"/>
      <c r="H102" s="34">
        <f t="shared" si="69"/>
        <v>4.0956014362657091E-2</v>
      </c>
      <c r="I102" s="34">
        <f t="shared" ref="I102:P102" si="97">+H102</f>
        <v>4.0956014362657091E-2</v>
      </c>
      <c r="J102" s="34">
        <f t="shared" si="97"/>
        <v>4.0956014362657091E-2</v>
      </c>
      <c r="K102" s="34">
        <f t="shared" si="97"/>
        <v>4.0956014362657091E-2</v>
      </c>
      <c r="L102" s="34">
        <f t="shared" si="97"/>
        <v>4.0956014362657091E-2</v>
      </c>
      <c r="M102" s="34">
        <f t="shared" si="97"/>
        <v>4.0956014362657091E-2</v>
      </c>
      <c r="N102" s="34">
        <f t="shared" si="97"/>
        <v>4.0956014362657091E-2</v>
      </c>
      <c r="O102" s="34">
        <f t="shared" si="97"/>
        <v>4.0956014362657091E-2</v>
      </c>
      <c r="P102" s="34">
        <f t="shared" si="97"/>
        <v>4.0956014362657091E-2</v>
      </c>
    </row>
    <row r="103" spans="1:16" ht="14.25" customHeight="1" x14ac:dyDescent="0.3">
      <c r="A103" s="4"/>
      <c r="B103" s="4"/>
      <c r="C103" s="4" t="s">
        <v>435</v>
      </c>
      <c r="D103" s="6" t="s">
        <v>322</v>
      </c>
      <c r="E103" s="6" t="s">
        <v>39</v>
      </c>
      <c r="F103" s="102">
        <v>4.0956014362657091E-2</v>
      </c>
      <c r="G103" s="4"/>
      <c r="H103" s="34">
        <f t="shared" si="69"/>
        <v>4.0956014362657091E-2</v>
      </c>
      <c r="I103" s="34">
        <f t="shared" ref="I103:P103" si="98">+H103</f>
        <v>4.0956014362657091E-2</v>
      </c>
      <c r="J103" s="34">
        <f t="shared" si="98"/>
        <v>4.0956014362657091E-2</v>
      </c>
      <c r="K103" s="34">
        <f t="shared" si="98"/>
        <v>4.0956014362657091E-2</v>
      </c>
      <c r="L103" s="34">
        <f t="shared" si="98"/>
        <v>4.0956014362657091E-2</v>
      </c>
      <c r="M103" s="34">
        <f t="shared" si="98"/>
        <v>4.0956014362657091E-2</v>
      </c>
      <c r="N103" s="34">
        <f t="shared" si="98"/>
        <v>4.0956014362657091E-2</v>
      </c>
      <c r="O103" s="34">
        <f t="shared" si="98"/>
        <v>4.0956014362657091E-2</v>
      </c>
      <c r="P103" s="34">
        <f t="shared" si="98"/>
        <v>4.0956014362657091E-2</v>
      </c>
    </row>
    <row r="104" spans="1:16" ht="14.25" customHeight="1" x14ac:dyDescent="0.3">
      <c r="A104" s="4"/>
      <c r="B104" s="4"/>
      <c r="C104" s="4" t="s">
        <v>436</v>
      </c>
      <c r="D104" s="6" t="s">
        <v>322</v>
      </c>
      <c r="E104" s="6" t="s">
        <v>39</v>
      </c>
      <c r="F104" s="102">
        <v>4.0956014362657091E-2</v>
      </c>
      <c r="G104" s="4"/>
      <c r="H104" s="34">
        <f t="shared" si="69"/>
        <v>4.0956014362657091E-2</v>
      </c>
      <c r="I104" s="34">
        <f t="shared" ref="I104:P104" si="99">+H104</f>
        <v>4.0956014362657091E-2</v>
      </c>
      <c r="J104" s="34">
        <f t="shared" si="99"/>
        <v>4.0956014362657091E-2</v>
      </c>
      <c r="K104" s="34">
        <f t="shared" si="99"/>
        <v>4.0956014362657091E-2</v>
      </c>
      <c r="L104" s="34">
        <f t="shared" si="99"/>
        <v>4.0956014362657091E-2</v>
      </c>
      <c r="M104" s="34">
        <f t="shared" si="99"/>
        <v>4.0956014362657091E-2</v>
      </c>
      <c r="N104" s="34">
        <f t="shared" si="99"/>
        <v>4.0956014362657091E-2</v>
      </c>
      <c r="O104" s="34">
        <f t="shared" si="99"/>
        <v>4.0956014362657091E-2</v>
      </c>
      <c r="P104" s="34">
        <f t="shared" si="99"/>
        <v>4.0956014362657091E-2</v>
      </c>
    </row>
    <row r="105" spans="1:16" ht="14.25" customHeight="1" x14ac:dyDescent="0.3">
      <c r="A105" s="4"/>
      <c r="B105" s="4"/>
      <c r="C105" s="4" t="s">
        <v>437</v>
      </c>
      <c r="D105" s="6" t="s">
        <v>322</v>
      </c>
      <c r="E105" s="6" t="s">
        <v>39</v>
      </c>
      <c r="F105" s="102">
        <v>4.0956014362657091E-2</v>
      </c>
      <c r="G105" s="4"/>
      <c r="H105" s="34">
        <f t="shared" si="69"/>
        <v>4.0956014362657091E-2</v>
      </c>
      <c r="I105" s="34">
        <f t="shared" ref="I105:P105" si="100">+H105</f>
        <v>4.0956014362657091E-2</v>
      </c>
      <c r="J105" s="34">
        <f t="shared" si="100"/>
        <v>4.0956014362657091E-2</v>
      </c>
      <c r="K105" s="34">
        <f t="shared" si="100"/>
        <v>4.0956014362657091E-2</v>
      </c>
      <c r="L105" s="34">
        <f t="shared" si="100"/>
        <v>4.0956014362657091E-2</v>
      </c>
      <c r="M105" s="34">
        <f t="shared" si="100"/>
        <v>4.0956014362657091E-2</v>
      </c>
      <c r="N105" s="34">
        <f t="shared" si="100"/>
        <v>4.0956014362657091E-2</v>
      </c>
      <c r="O105" s="34">
        <f t="shared" si="100"/>
        <v>4.0956014362657091E-2</v>
      </c>
      <c r="P105" s="34">
        <f t="shared" si="100"/>
        <v>4.0956014362657091E-2</v>
      </c>
    </row>
    <row r="106" spans="1:16" ht="14.25" customHeight="1" x14ac:dyDescent="0.3">
      <c r="A106" s="4"/>
      <c r="B106" s="4"/>
      <c r="C106" s="4" t="s">
        <v>438</v>
      </c>
      <c r="D106" s="6" t="s">
        <v>322</v>
      </c>
      <c r="E106" s="6" t="s">
        <v>39</v>
      </c>
      <c r="F106" s="102">
        <v>4.0956014362657091E-2</v>
      </c>
      <c r="G106" s="4"/>
      <c r="H106" s="34">
        <f t="shared" si="69"/>
        <v>4.0956014362657091E-2</v>
      </c>
      <c r="I106" s="34">
        <f t="shared" ref="I106:P106" si="101">+H106</f>
        <v>4.0956014362657091E-2</v>
      </c>
      <c r="J106" s="34">
        <f t="shared" si="101"/>
        <v>4.0956014362657091E-2</v>
      </c>
      <c r="K106" s="34">
        <f t="shared" si="101"/>
        <v>4.0956014362657091E-2</v>
      </c>
      <c r="L106" s="34">
        <f t="shared" si="101"/>
        <v>4.0956014362657091E-2</v>
      </c>
      <c r="M106" s="34">
        <f t="shared" si="101"/>
        <v>4.0956014362657091E-2</v>
      </c>
      <c r="N106" s="34">
        <f t="shared" si="101"/>
        <v>4.0956014362657091E-2</v>
      </c>
      <c r="O106" s="34">
        <f t="shared" si="101"/>
        <v>4.0956014362657091E-2</v>
      </c>
      <c r="P106" s="34">
        <f t="shared" si="101"/>
        <v>4.0956014362657091E-2</v>
      </c>
    </row>
    <row r="107" spans="1:16" ht="14.25" customHeight="1" x14ac:dyDescent="0.3">
      <c r="A107" s="4"/>
      <c r="B107" s="4"/>
      <c r="C107" s="4" t="s">
        <v>439</v>
      </c>
      <c r="D107" s="6" t="s">
        <v>322</v>
      </c>
      <c r="E107" s="6" t="s">
        <v>39</v>
      </c>
      <c r="F107" s="102">
        <v>4.0956014362657091E-2</v>
      </c>
      <c r="G107" s="4"/>
      <c r="H107" s="34">
        <f t="shared" si="69"/>
        <v>4.0956014362657091E-2</v>
      </c>
      <c r="I107" s="34">
        <f t="shared" ref="I107:P107" si="102">+H107</f>
        <v>4.0956014362657091E-2</v>
      </c>
      <c r="J107" s="34">
        <f t="shared" si="102"/>
        <v>4.0956014362657091E-2</v>
      </c>
      <c r="K107" s="34">
        <f t="shared" si="102"/>
        <v>4.0956014362657091E-2</v>
      </c>
      <c r="L107" s="34">
        <f t="shared" si="102"/>
        <v>4.0956014362657091E-2</v>
      </c>
      <c r="M107" s="34">
        <f t="shared" si="102"/>
        <v>4.0956014362657091E-2</v>
      </c>
      <c r="N107" s="34">
        <f t="shared" si="102"/>
        <v>4.0956014362657091E-2</v>
      </c>
      <c r="O107" s="34">
        <f t="shared" si="102"/>
        <v>4.0956014362657091E-2</v>
      </c>
      <c r="P107" s="34">
        <f t="shared" si="102"/>
        <v>4.0956014362657091E-2</v>
      </c>
    </row>
    <row r="108" spans="1:16" ht="14.25" customHeight="1" x14ac:dyDescent="0.3">
      <c r="A108" s="4"/>
      <c r="B108" s="4"/>
      <c r="C108" s="4" t="s">
        <v>440</v>
      </c>
      <c r="D108" s="6" t="s">
        <v>322</v>
      </c>
      <c r="E108" s="6" t="s">
        <v>39</v>
      </c>
      <c r="F108" s="102">
        <v>4.0956014362657091E-2</v>
      </c>
      <c r="G108" s="4"/>
      <c r="H108" s="34">
        <f t="shared" si="69"/>
        <v>4.0956014362657091E-2</v>
      </c>
      <c r="I108" s="34">
        <f t="shared" ref="I108:P108" si="103">+H108</f>
        <v>4.0956014362657091E-2</v>
      </c>
      <c r="J108" s="34">
        <f t="shared" si="103"/>
        <v>4.0956014362657091E-2</v>
      </c>
      <c r="K108" s="34">
        <f t="shared" si="103"/>
        <v>4.0956014362657091E-2</v>
      </c>
      <c r="L108" s="34">
        <f t="shared" si="103"/>
        <v>4.0956014362657091E-2</v>
      </c>
      <c r="M108" s="34">
        <f t="shared" si="103"/>
        <v>4.0956014362657091E-2</v>
      </c>
      <c r="N108" s="34">
        <f t="shared" si="103"/>
        <v>4.0956014362657091E-2</v>
      </c>
      <c r="O108" s="34">
        <f t="shared" si="103"/>
        <v>4.0956014362657091E-2</v>
      </c>
      <c r="P108" s="34">
        <f t="shared" si="103"/>
        <v>4.0956014362657091E-2</v>
      </c>
    </row>
    <row r="109" spans="1:16" ht="14.25" customHeight="1" x14ac:dyDescent="0.3">
      <c r="A109" s="4"/>
      <c r="B109" s="4"/>
      <c r="C109" s="4" t="s">
        <v>441</v>
      </c>
      <c r="D109" s="6" t="s">
        <v>322</v>
      </c>
      <c r="E109" s="6" t="s">
        <v>39</v>
      </c>
      <c r="F109" s="102">
        <v>4.0956014362657091E-2</v>
      </c>
      <c r="G109" s="4"/>
      <c r="H109" s="34">
        <f t="shared" si="69"/>
        <v>4.0956014362657091E-2</v>
      </c>
      <c r="I109" s="34">
        <f t="shared" ref="I109:P109" si="104">+H109</f>
        <v>4.0956014362657091E-2</v>
      </c>
      <c r="J109" s="34">
        <f t="shared" si="104"/>
        <v>4.0956014362657091E-2</v>
      </c>
      <c r="K109" s="34">
        <f t="shared" si="104"/>
        <v>4.0956014362657091E-2</v>
      </c>
      <c r="L109" s="34">
        <f t="shared" si="104"/>
        <v>4.0956014362657091E-2</v>
      </c>
      <c r="M109" s="34">
        <f t="shared" si="104"/>
        <v>4.0956014362657091E-2</v>
      </c>
      <c r="N109" s="34">
        <f t="shared" si="104"/>
        <v>4.0956014362657091E-2</v>
      </c>
      <c r="O109" s="34">
        <f t="shared" si="104"/>
        <v>4.0956014362657091E-2</v>
      </c>
      <c r="P109" s="34">
        <f t="shared" si="104"/>
        <v>4.0956014362657091E-2</v>
      </c>
    </row>
    <row r="110" spans="1:16" ht="14.25" customHeight="1" x14ac:dyDescent="0.3">
      <c r="A110" s="4"/>
      <c r="B110" s="4"/>
      <c r="C110" s="4" t="s">
        <v>442</v>
      </c>
      <c r="D110" s="6" t="s">
        <v>322</v>
      </c>
      <c r="E110" s="6" t="s">
        <v>39</v>
      </c>
      <c r="F110" s="102">
        <v>4.0956014362657091E-2</v>
      </c>
      <c r="G110" s="4"/>
      <c r="H110" s="34">
        <f t="shared" si="69"/>
        <v>4.0956014362657091E-2</v>
      </c>
      <c r="I110" s="34">
        <f t="shared" ref="I110:P110" si="105">+H110</f>
        <v>4.0956014362657091E-2</v>
      </c>
      <c r="J110" s="34">
        <f t="shared" si="105"/>
        <v>4.0956014362657091E-2</v>
      </c>
      <c r="K110" s="34">
        <f t="shared" si="105"/>
        <v>4.0956014362657091E-2</v>
      </c>
      <c r="L110" s="34">
        <f t="shared" si="105"/>
        <v>4.0956014362657091E-2</v>
      </c>
      <c r="M110" s="34">
        <f t="shared" si="105"/>
        <v>4.0956014362657091E-2</v>
      </c>
      <c r="N110" s="34">
        <f t="shared" si="105"/>
        <v>4.0956014362657091E-2</v>
      </c>
      <c r="O110" s="34">
        <f t="shared" si="105"/>
        <v>4.0956014362657091E-2</v>
      </c>
      <c r="P110" s="34">
        <f t="shared" si="105"/>
        <v>4.0956014362657091E-2</v>
      </c>
    </row>
    <row r="111" spans="1:16" ht="14.25" customHeight="1" x14ac:dyDescent="0.3">
      <c r="A111" s="4"/>
      <c r="B111" s="4"/>
      <c r="C111" s="4" t="s">
        <v>443</v>
      </c>
      <c r="D111" s="6" t="s">
        <v>322</v>
      </c>
      <c r="E111" s="6" t="s">
        <v>39</v>
      </c>
      <c r="F111" s="102">
        <v>4.1266252119841716E-2</v>
      </c>
      <c r="G111" s="4"/>
      <c r="H111" s="34">
        <f t="shared" si="69"/>
        <v>4.1266252119841716E-2</v>
      </c>
      <c r="I111" s="34">
        <f t="shared" ref="I111:P111" si="106">+H111</f>
        <v>4.1266252119841716E-2</v>
      </c>
      <c r="J111" s="34">
        <f t="shared" si="106"/>
        <v>4.1266252119841716E-2</v>
      </c>
      <c r="K111" s="34">
        <f t="shared" si="106"/>
        <v>4.1266252119841716E-2</v>
      </c>
      <c r="L111" s="34">
        <f t="shared" si="106"/>
        <v>4.1266252119841716E-2</v>
      </c>
      <c r="M111" s="34">
        <f t="shared" si="106"/>
        <v>4.1266252119841716E-2</v>
      </c>
      <c r="N111" s="34">
        <f t="shared" si="106"/>
        <v>4.1266252119841716E-2</v>
      </c>
      <c r="O111" s="34">
        <f t="shared" si="106"/>
        <v>4.1266252119841716E-2</v>
      </c>
      <c r="P111" s="34">
        <f t="shared" si="106"/>
        <v>4.1266252119841716E-2</v>
      </c>
    </row>
    <row r="112" spans="1:16" ht="14.25" customHeight="1" x14ac:dyDescent="0.3">
      <c r="A112" s="4"/>
      <c r="B112" s="4"/>
      <c r="C112" s="4" t="s">
        <v>444</v>
      </c>
      <c r="D112" s="6" t="s">
        <v>322</v>
      </c>
      <c r="E112" s="6" t="s">
        <v>39</v>
      </c>
      <c r="F112" s="102">
        <v>4.1242937853107342E-2</v>
      </c>
      <c r="G112" s="4"/>
      <c r="H112" s="34">
        <f t="shared" si="69"/>
        <v>4.1242937853107342E-2</v>
      </c>
      <c r="I112" s="34">
        <f t="shared" ref="I112:P112" si="107">+H112</f>
        <v>4.1242937853107342E-2</v>
      </c>
      <c r="J112" s="34">
        <f t="shared" si="107"/>
        <v>4.1242937853107342E-2</v>
      </c>
      <c r="K112" s="34">
        <f t="shared" si="107"/>
        <v>4.1242937853107342E-2</v>
      </c>
      <c r="L112" s="34">
        <f t="shared" si="107"/>
        <v>4.1242937853107342E-2</v>
      </c>
      <c r="M112" s="34">
        <f t="shared" si="107"/>
        <v>4.1242937853107342E-2</v>
      </c>
      <c r="N112" s="34">
        <f t="shared" si="107"/>
        <v>4.1242937853107342E-2</v>
      </c>
      <c r="O112" s="34">
        <f t="shared" si="107"/>
        <v>4.1242937853107342E-2</v>
      </c>
      <c r="P112" s="34">
        <f t="shared" si="107"/>
        <v>4.1242937853107342E-2</v>
      </c>
    </row>
    <row r="113" spans="1:16" ht="14.25" customHeight="1" x14ac:dyDescent="0.3">
      <c r="A113" s="4"/>
      <c r="B113" s="4"/>
      <c r="C113" s="4" t="s">
        <v>445</v>
      </c>
      <c r="D113" s="6" t="s">
        <v>322</v>
      </c>
      <c r="E113" s="6" t="s">
        <v>39</v>
      </c>
      <c r="F113" s="102">
        <v>4.279015240328253E-2</v>
      </c>
      <c r="G113" s="4"/>
      <c r="H113" s="34">
        <f t="shared" si="69"/>
        <v>4.279015240328253E-2</v>
      </c>
      <c r="I113" s="34">
        <f t="shared" ref="I113:P113" si="108">+H113</f>
        <v>4.279015240328253E-2</v>
      </c>
      <c r="J113" s="34">
        <f t="shared" si="108"/>
        <v>4.279015240328253E-2</v>
      </c>
      <c r="K113" s="34">
        <f t="shared" si="108"/>
        <v>4.279015240328253E-2</v>
      </c>
      <c r="L113" s="34">
        <f t="shared" si="108"/>
        <v>4.279015240328253E-2</v>
      </c>
      <c r="M113" s="34">
        <f t="shared" si="108"/>
        <v>4.279015240328253E-2</v>
      </c>
      <c r="N113" s="34">
        <f t="shared" si="108"/>
        <v>4.279015240328253E-2</v>
      </c>
      <c r="O113" s="34">
        <f t="shared" si="108"/>
        <v>4.279015240328253E-2</v>
      </c>
      <c r="P113" s="34">
        <f t="shared" si="108"/>
        <v>4.279015240328253E-2</v>
      </c>
    </row>
    <row r="114" spans="1:16" ht="14.25" customHeight="1" x14ac:dyDescent="0.3">
      <c r="A114" s="4"/>
      <c r="B114" s="4"/>
      <c r="C114" s="4" t="s">
        <v>446</v>
      </c>
      <c r="D114" s="6" t="s">
        <v>322</v>
      </c>
      <c r="E114" s="6" t="s">
        <v>39</v>
      </c>
      <c r="F114" s="102">
        <v>4.1242937853107342E-2</v>
      </c>
      <c r="G114" s="4"/>
      <c r="H114" s="34">
        <f t="shared" si="69"/>
        <v>4.1242937853107342E-2</v>
      </c>
      <c r="I114" s="34">
        <f t="shared" ref="I114:P114" si="109">+H114</f>
        <v>4.1242937853107342E-2</v>
      </c>
      <c r="J114" s="34">
        <f t="shared" si="109"/>
        <v>4.1242937853107342E-2</v>
      </c>
      <c r="K114" s="34">
        <f t="shared" si="109"/>
        <v>4.1242937853107342E-2</v>
      </c>
      <c r="L114" s="34">
        <f t="shared" si="109"/>
        <v>4.1242937853107342E-2</v>
      </c>
      <c r="M114" s="34">
        <f t="shared" si="109"/>
        <v>4.1242937853107342E-2</v>
      </c>
      <c r="N114" s="34">
        <f t="shared" si="109"/>
        <v>4.1242937853107342E-2</v>
      </c>
      <c r="O114" s="34">
        <f t="shared" si="109"/>
        <v>4.1242937853107342E-2</v>
      </c>
      <c r="P114" s="34">
        <f t="shared" si="109"/>
        <v>4.1242937853107342E-2</v>
      </c>
    </row>
    <row r="115" spans="1:16" ht="14.25" customHeight="1" x14ac:dyDescent="0.3">
      <c r="A115" s="4"/>
      <c r="B115" s="4"/>
      <c r="C115" s="4" t="s">
        <v>447</v>
      </c>
      <c r="D115" s="6" t="s">
        <v>322</v>
      </c>
      <c r="E115" s="6" t="s">
        <v>39</v>
      </c>
      <c r="F115" s="102">
        <v>4.1242937853107342E-2</v>
      </c>
      <c r="G115" s="4"/>
      <c r="H115" s="34">
        <f t="shared" si="69"/>
        <v>4.1242937853107342E-2</v>
      </c>
      <c r="I115" s="34">
        <f t="shared" ref="I115:P115" si="110">+H115</f>
        <v>4.1242937853107342E-2</v>
      </c>
      <c r="J115" s="34">
        <f t="shared" si="110"/>
        <v>4.1242937853107342E-2</v>
      </c>
      <c r="K115" s="34">
        <f t="shared" si="110"/>
        <v>4.1242937853107342E-2</v>
      </c>
      <c r="L115" s="34">
        <f t="shared" si="110"/>
        <v>4.1242937853107342E-2</v>
      </c>
      <c r="M115" s="34">
        <f t="shared" si="110"/>
        <v>4.1242937853107342E-2</v>
      </c>
      <c r="N115" s="34">
        <f t="shared" si="110"/>
        <v>4.1242937853107342E-2</v>
      </c>
      <c r="O115" s="34">
        <f t="shared" si="110"/>
        <v>4.1242937853107342E-2</v>
      </c>
      <c r="P115" s="34">
        <f t="shared" si="110"/>
        <v>4.1242937853107342E-2</v>
      </c>
    </row>
    <row r="116" spans="1:16" ht="14.25" customHeight="1" x14ac:dyDescent="0.3">
      <c r="A116" s="4"/>
      <c r="B116" s="4"/>
      <c r="C116" s="4" t="s">
        <v>448</v>
      </c>
      <c r="D116" s="6" t="s">
        <v>322</v>
      </c>
      <c r="E116" s="6" t="s">
        <v>39</v>
      </c>
      <c r="F116" s="102">
        <v>4.1242937853107342E-2</v>
      </c>
      <c r="G116" s="4"/>
      <c r="H116" s="34">
        <f t="shared" si="69"/>
        <v>4.1242937853107342E-2</v>
      </c>
      <c r="I116" s="34">
        <f t="shared" ref="I116:P116" si="111">+H116</f>
        <v>4.1242937853107342E-2</v>
      </c>
      <c r="J116" s="34">
        <f t="shared" si="111"/>
        <v>4.1242937853107342E-2</v>
      </c>
      <c r="K116" s="34">
        <f t="shared" si="111"/>
        <v>4.1242937853107342E-2</v>
      </c>
      <c r="L116" s="34">
        <f t="shared" si="111"/>
        <v>4.1242937853107342E-2</v>
      </c>
      <c r="M116" s="34">
        <f t="shared" si="111"/>
        <v>4.1242937853107342E-2</v>
      </c>
      <c r="N116" s="34">
        <f t="shared" si="111"/>
        <v>4.1242937853107342E-2</v>
      </c>
      <c r="O116" s="34">
        <f t="shared" si="111"/>
        <v>4.1242937853107342E-2</v>
      </c>
      <c r="P116" s="34">
        <f t="shared" si="111"/>
        <v>4.1242937853107342E-2</v>
      </c>
    </row>
    <row r="117" spans="1:16" ht="14.25" customHeight="1" x14ac:dyDescent="0.3">
      <c r="A117" s="4"/>
      <c r="B117" s="4"/>
      <c r="C117" s="4" t="s">
        <v>449</v>
      </c>
      <c r="D117" s="6" t="s">
        <v>322</v>
      </c>
      <c r="E117" s="6" t="s">
        <v>39</v>
      </c>
      <c r="F117" s="102">
        <v>4.1242937853107342E-2</v>
      </c>
      <c r="G117" s="4"/>
      <c r="H117" s="34">
        <f t="shared" si="69"/>
        <v>4.1242937853107342E-2</v>
      </c>
      <c r="I117" s="34">
        <f t="shared" ref="I117:P117" si="112">+H117</f>
        <v>4.1242937853107342E-2</v>
      </c>
      <c r="J117" s="34">
        <f t="shared" si="112"/>
        <v>4.1242937853107342E-2</v>
      </c>
      <c r="K117" s="34">
        <f t="shared" si="112"/>
        <v>4.1242937853107342E-2</v>
      </c>
      <c r="L117" s="34">
        <f t="shared" si="112"/>
        <v>4.1242937853107342E-2</v>
      </c>
      <c r="M117" s="34">
        <f t="shared" si="112"/>
        <v>4.1242937853107342E-2</v>
      </c>
      <c r="N117" s="34">
        <f t="shared" si="112"/>
        <v>4.1242937853107342E-2</v>
      </c>
      <c r="O117" s="34">
        <f t="shared" si="112"/>
        <v>4.1242937853107342E-2</v>
      </c>
      <c r="P117" s="34">
        <f t="shared" si="112"/>
        <v>4.1242937853107342E-2</v>
      </c>
    </row>
    <row r="118" spans="1:16" ht="14.25" customHeight="1" x14ac:dyDescent="0.3">
      <c r="A118" s="4"/>
      <c r="B118" s="4"/>
      <c r="C118" s="4" t="s">
        <v>450</v>
      </c>
      <c r="D118" s="6" t="s">
        <v>322</v>
      </c>
      <c r="E118" s="6" t="s">
        <v>39</v>
      </c>
      <c r="F118" s="102">
        <v>4.1242937853107342E-2</v>
      </c>
      <c r="G118" s="4"/>
      <c r="H118" s="34">
        <f t="shared" si="69"/>
        <v>4.1242937853107342E-2</v>
      </c>
      <c r="I118" s="34">
        <f t="shared" ref="I118:P118" si="113">+H118</f>
        <v>4.1242937853107342E-2</v>
      </c>
      <c r="J118" s="34">
        <f t="shared" si="113"/>
        <v>4.1242937853107342E-2</v>
      </c>
      <c r="K118" s="34">
        <f t="shared" si="113"/>
        <v>4.1242937853107342E-2</v>
      </c>
      <c r="L118" s="34">
        <f t="shared" si="113"/>
        <v>4.1242937853107342E-2</v>
      </c>
      <c r="M118" s="34">
        <f t="shared" si="113"/>
        <v>4.1242937853107342E-2</v>
      </c>
      <c r="N118" s="34">
        <f t="shared" si="113"/>
        <v>4.1242937853107342E-2</v>
      </c>
      <c r="O118" s="34">
        <f t="shared" si="113"/>
        <v>4.1242937853107342E-2</v>
      </c>
      <c r="P118" s="34">
        <f t="shared" si="113"/>
        <v>4.1242937853107342E-2</v>
      </c>
    </row>
    <row r="119" spans="1:16" ht="14.25" customHeight="1" x14ac:dyDescent="0.3">
      <c r="A119" s="4"/>
      <c r="B119" s="4"/>
      <c r="C119" s="4" t="s">
        <v>370</v>
      </c>
      <c r="D119" s="6" t="s">
        <v>322</v>
      </c>
      <c r="E119" s="6" t="s">
        <v>39</v>
      </c>
      <c r="F119" s="102">
        <v>4.2186777623670825E-2</v>
      </c>
      <c r="G119" s="4"/>
      <c r="H119" s="34">
        <f t="shared" si="69"/>
        <v>4.2186777623670825E-2</v>
      </c>
      <c r="I119" s="34">
        <f t="shared" ref="I119:P119" si="114">+H119</f>
        <v>4.2186777623670825E-2</v>
      </c>
      <c r="J119" s="34">
        <f t="shared" si="114"/>
        <v>4.2186777623670825E-2</v>
      </c>
      <c r="K119" s="34">
        <f t="shared" si="114"/>
        <v>4.2186777623670825E-2</v>
      </c>
      <c r="L119" s="34">
        <f t="shared" si="114"/>
        <v>4.2186777623670825E-2</v>
      </c>
      <c r="M119" s="34">
        <f t="shared" si="114"/>
        <v>4.2186777623670825E-2</v>
      </c>
      <c r="N119" s="34">
        <f t="shared" si="114"/>
        <v>4.2186777623670825E-2</v>
      </c>
      <c r="O119" s="34">
        <f t="shared" si="114"/>
        <v>4.2186777623670825E-2</v>
      </c>
      <c r="P119" s="34">
        <f t="shared" si="114"/>
        <v>4.2186777623670825E-2</v>
      </c>
    </row>
    <row r="120" spans="1:16" ht="14.25" customHeight="1" x14ac:dyDescent="0.3">
      <c r="A120" s="4"/>
      <c r="B120" s="4"/>
      <c r="C120" s="223" t="s">
        <v>464</v>
      </c>
      <c r="D120" s="254" t="s">
        <v>322</v>
      </c>
      <c r="E120" s="254" t="s">
        <v>39</v>
      </c>
      <c r="F120" s="266">
        <v>0.14821157327464365</v>
      </c>
      <c r="G120" s="223"/>
      <c r="H120" s="263">
        <f t="shared" ref="H120:H121" si="115">+F120</f>
        <v>0.14821157327464365</v>
      </c>
      <c r="I120" s="263">
        <f t="shared" ref="I120:P120" si="116">+H120</f>
        <v>0.14821157327464365</v>
      </c>
      <c r="J120" s="263">
        <f t="shared" si="116"/>
        <v>0.14821157327464365</v>
      </c>
      <c r="K120" s="263">
        <f t="shared" si="116"/>
        <v>0.14821157327464365</v>
      </c>
      <c r="L120" s="263">
        <f t="shared" si="116"/>
        <v>0.14821157327464365</v>
      </c>
      <c r="M120" s="263">
        <f t="shared" si="116"/>
        <v>0.14821157327464365</v>
      </c>
      <c r="N120" s="263">
        <f t="shared" si="116"/>
        <v>0.14821157327464365</v>
      </c>
      <c r="O120" s="263">
        <f t="shared" si="116"/>
        <v>0.14821157327464365</v>
      </c>
      <c r="P120" s="263">
        <f t="shared" si="116"/>
        <v>0.14821157327464365</v>
      </c>
    </row>
    <row r="121" spans="1:16" ht="14.25" customHeight="1" x14ac:dyDescent="0.3">
      <c r="A121" s="4"/>
      <c r="B121" s="4"/>
      <c r="C121" s="223" t="s">
        <v>465</v>
      </c>
      <c r="D121" s="254" t="s">
        <v>322</v>
      </c>
      <c r="E121" s="254" t="s">
        <v>39</v>
      </c>
      <c r="F121" s="266">
        <v>0.12436079910123456</v>
      </c>
      <c r="G121" s="223"/>
      <c r="H121" s="263">
        <f t="shared" si="115"/>
        <v>0.12436079910123456</v>
      </c>
      <c r="I121" s="263">
        <f t="shared" ref="I121:P121" si="117">+H121</f>
        <v>0.12436079910123456</v>
      </c>
      <c r="J121" s="263">
        <f t="shared" si="117"/>
        <v>0.12436079910123456</v>
      </c>
      <c r="K121" s="263">
        <f t="shared" si="117"/>
        <v>0.12436079910123456</v>
      </c>
      <c r="L121" s="263">
        <f t="shared" si="117"/>
        <v>0.12436079910123456</v>
      </c>
      <c r="M121" s="263">
        <f t="shared" si="117"/>
        <v>0.12436079910123456</v>
      </c>
      <c r="N121" s="263">
        <f t="shared" si="117"/>
        <v>0.12436079910123456</v>
      </c>
      <c r="O121" s="263">
        <f t="shared" si="117"/>
        <v>0.12436079910123456</v>
      </c>
      <c r="P121" s="263">
        <f t="shared" si="117"/>
        <v>0.12436079910123456</v>
      </c>
    </row>
    <row r="122" spans="1:16" ht="14.25" customHeight="1" collapsed="1" x14ac:dyDescent="0.3">
      <c r="A122" s="4"/>
      <c r="B122" s="4"/>
      <c r="C122" s="4"/>
      <c r="D122" s="6"/>
      <c r="E122" s="6"/>
      <c r="F122" s="102"/>
      <c r="G122" s="4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 ht="14.25" customHeight="1" x14ac:dyDescent="0.3">
      <c r="A123" s="4"/>
      <c r="B123" s="7" t="s">
        <v>374</v>
      </c>
      <c r="C123" s="4"/>
      <c r="D123" s="6"/>
      <c r="E123" s="6"/>
      <c r="F123" s="102"/>
      <c r="G123" s="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ht="14.25" customHeight="1" x14ac:dyDescent="0.3">
      <c r="A124" s="4"/>
      <c r="B124" s="4"/>
      <c r="C124" s="4" t="s">
        <v>375</v>
      </c>
      <c r="D124" s="6" t="s">
        <v>322</v>
      </c>
      <c r="E124" s="6" t="s">
        <v>39</v>
      </c>
      <c r="F124" s="102">
        <v>6.6666666666666666E-2</v>
      </c>
      <c r="G124" s="4"/>
      <c r="H124" s="34">
        <f t="shared" ref="H124:H144" si="118">+F124</f>
        <v>6.6666666666666666E-2</v>
      </c>
      <c r="I124" s="34">
        <f t="shared" ref="I124:P124" si="119">+H124</f>
        <v>6.6666666666666666E-2</v>
      </c>
      <c r="J124" s="34">
        <f t="shared" si="119"/>
        <v>6.6666666666666666E-2</v>
      </c>
      <c r="K124" s="34">
        <f t="shared" si="119"/>
        <v>6.6666666666666666E-2</v>
      </c>
      <c r="L124" s="34">
        <f t="shared" si="119"/>
        <v>6.6666666666666666E-2</v>
      </c>
      <c r="M124" s="34">
        <f t="shared" si="119"/>
        <v>6.6666666666666666E-2</v>
      </c>
      <c r="N124" s="34">
        <f t="shared" si="119"/>
        <v>6.6666666666666666E-2</v>
      </c>
      <c r="O124" s="34">
        <f t="shared" si="119"/>
        <v>6.6666666666666666E-2</v>
      </c>
      <c r="P124" s="34">
        <f t="shared" si="119"/>
        <v>6.6666666666666666E-2</v>
      </c>
    </row>
    <row r="125" spans="1:16" ht="14.25" customHeight="1" x14ac:dyDescent="0.3">
      <c r="A125" s="4"/>
      <c r="B125" s="4"/>
      <c r="C125" s="4" t="s">
        <v>376</v>
      </c>
      <c r="D125" s="6" t="s">
        <v>322</v>
      </c>
      <c r="E125" s="6" t="s">
        <v>39</v>
      </c>
      <c r="F125" s="102">
        <v>0.1</v>
      </c>
      <c r="G125" s="4"/>
      <c r="H125" s="34">
        <f t="shared" si="118"/>
        <v>0.1</v>
      </c>
      <c r="I125" s="34">
        <f t="shared" ref="I125:P125" si="120">+H125</f>
        <v>0.1</v>
      </c>
      <c r="J125" s="34">
        <f t="shared" si="120"/>
        <v>0.1</v>
      </c>
      <c r="K125" s="34">
        <f t="shared" si="120"/>
        <v>0.1</v>
      </c>
      <c r="L125" s="34">
        <f t="shared" si="120"/>
        <v>0.1</v>
      </c>
      <c r="M125" s="34">
        <f t="shared" si="120"/>
        <v>0.1</v>
      </c>
      <c r="N125" s="34">
        <f t="shared" si="120"/>
        <v>0.1</v>
      </c>
      <c r="O125" s="34">
        <f t="shared" si="120"/>
        <v>0.1</v>
      </c>
      <c r="P125" s="34">
        <f t="shared" si="120"/>
        <v>0.1</v>
      </c>
    </row>
    <row r="126" spans="1:16" ht="14.25" customHeight="1" x14ac:dyDescent="0.3">
      <c r="A126" s="4"/>
      <c r="B126" s="4"/>
      <c r="C126" s="4" t="s">
        <v>377</v>
      </c>
      <c r="D126" s="6" t="s">
        <v>322</v>
      </c>
      <c r="E126" s="6" t="s">
        <v>39</v>
      </c>
      <c r="F126" s="102">
        <v>0.1</v>
      </c>
      <c r="G126" s="4"/>
      <c r="H126" s="34">
        <f t="shared" si="118"/>
        <v>0.1</v>
      </c>
      <c r="I126" s="34">
        <f t="shared" ref="I126:P126" si="121">+H126</f>
        <v>0.1</v>
      </c>
      <c r="J126" s="34">
        <f t="shared" si="121"/>
        <v>0.1</v>
      </c>
      <c r="K126" s="34">
        <f t="shared" si="121"/>
        <v>0.1</v>
      </c>
      <c r="L126" s="34">
        <f t="shared" si="121"/>
        <v>0.1</v>
      </c>
      <c r="M126" s="34">
        <f t="shared" si="121"/>
        <v>0.1</v>
      </c>
      <c r="N126" s="34">
        <f t="shared" si="121"/>
        <v>0.1</v>
      </c>
      <c r="O126" s="34">
        <f t="shared" si="121"/>
        <v>0.1</v>
      </c>
      <c r="P126" s="34">
        <f t="shared" si="121"/>
        <v>0.1</v>
      </c>
    </row>
    <row r="127" spans="1:16" ht="14.25" customHeight="1" x14ac:dyDescent="0.3">
      <c r="A127" s="4"/>
      <c r="B127" s="4"/>
      <c r="C127" s="4" t="s">
        <v>378</v>
      </c>
      <c r="D127" s="6" t="s">
        <v>322</v>
      </c>
      <c r="E127" s="6" t="s">
        <v>39</v>
      </c>
      <c r="F127" s="102">
        <v>0.14285714285714285</v>
      </c>
      <c r="G127" s="4"/>
      <c r="H127" s="34">
        <f t="shared" si="118"/>
        <v>0.14285714285714285</v>
      </c>
      <c r="I127" s="34">
        <f t="shared" ref="I127:P127" si="122">+H127</f>
        <v>0.14285714285714285</v>
      </c>
      <c r="J127" s="34">
        <f t="shared" si="122"/>
        <v>0.14285714285714285</v>
      </c>
      <c r="K127" s="34">
        <f t="shared" si="122"/>
        <v>0.14285714285714285</v>
      </c>
      <c r="L127" s="34">
        <f t="shared" si="122"/>
        <v>0.14285714285714285</v>
      </c>
      <c r="M127" s="34">
        <f t="shared" si="122"/>
        <v>0.14285714285714285</v>
      </c>
      <c r="N127" s="34">
        <f t="shared" si="122"/>
        <v>0.14285714285714285</v>
      </c>
      <c r="O127" s="34">
        <f t="shared" si="122"/>
        <v>0.14285714285714285</v>
      </c>
      <c r="P127" s="34">
        <f t="shared" si="122"/>
        <v>0.14285714285714285</v>
      </c>
    </row>
    <row r="128" spans="1:16" ht="14.25" customHeight="1" x14ac:dyDescent="0.3">
      <c r="A128" s="4"/>
      <c r="B128" s="4"/>
      <c r="C128" s="4" t="s">
        <v>379</v>
      </c>
      <c r="D128" s="6" t="s">
        <v>322</v>
      </c>
      <c r="E128" s="6" t="s">
        <v>39</v>
      </c>
      <c r="F128" s="102">
        <v>0.2</v>
      </c>
      <c r="G128" s="4"/>
      <c r="H128" s="34">
        <f t="shared" si="118"/>
        <v>0.2</v>
      </c>
      <c r="I128" s="34">
        <f t="shared" ref="I128:P128" si="123">+H128</f>
        <v>0.2</v>
      </c>
      <c r="J128" s="34">
        <f t="shared" si="123"/>
        <v>0.2</v>
      </c>
      <c r="K128" s="34">
        <f t="shared" si="123"/>
        <v>0.2</v>
      </c>
      <c r="L128" s="34">
        <f t="shared" si="123"/>
        <v>0.2</v>
      </c>
      <c r="M128" s="34">
        <f t="shared" si="123"/>
        <v>0.2</v>
      </c>
      <c r="N128" s="34">
        <f t="shared" si="123"/>
        <v>0.2</v>
      </c>
      <c r="O128" s="34">
        <f t="shared" si="123"/>
        <v>0.2</v>
      </c>
      <c r="P128" s="34">
        <f t="shared" si="123"/>
        <v>0.2</v>
      </c>
    </row>
    <row r="129" spans="1:16" ht="14.25" customHeight="1" x14ac:dyDescent="0.3">
      <c r="A129" s="4"/>
      <c r="B129" s="4"/>
      <c r="C129" s="4" t="s">
        <v>380</v>
      </c>
      <c r="D129" s="6" t="s">
        <v>322</v>
      </c>
      <c r="E129" s="6" t="s">
        <v>39</v>
      </c>
      <c r="F129" s="102">
        <v>0.2</v>
      </c>
      <c r="G129" s="4"/>
      <c r="H129" s="34">
        <f t="shared" si="118"/>
        <v>0.2</v>
      </c>
      <c r="I129" s="34">
        <f t="shared" ref="I129:P129" si="124">+H129</f>
        <v>0.2</v>
      </c>
      <c r="J129" s="34">
        <f t="shared" si="124"/>
        <v>0.2</v>
      </c>
      <c r="K129" s="34">
        <f t="shared" si="124"/>
        <v>0.2</v>
      </c>
      <c r="L129" s="34">
        <f t="shared" si="124"/>
        <v>0.2</v>
      </c>
      <c r="M129" s="34">
        <f t="shared" si="124"/>
        <v>0.2</v>
      </c>
      <c r="N129" s="34">
        <f t="shared" si="124"/>
        <v>0.2</v>
      </c>
      <c r="O129" s="34">
        <f t="shared" si="124"/>
        <v>0.2</v>
      </c>
      <c r="P129" s="34">
        <f t="shared" si="124"/>
        <v>0.2</v>
      </c>
    </row>
    <row r="130" spans="1:16" ht="14.25" customHeight="1" x14ac:dyDescent="0.3">
      <c r="A130" s="4"/>
      <c r="B130" s="4"/>
      <c r="C130" s="4" t="s">
        <v>381</v>
      </c>
      <c r="D130" s="6" t="s">
        <v>322</v>
      </c>
      <c r="E130" s="6" t="s">
        <v>39</v>
      </c>
      <c r="F130" s="102">
        <v>0.14285714285714285</v>
      </c>
      <c r="G130" s="4"/>
      <c r="H130" s="34">
        <f t="shared" si="118"/>
        <v>0.14285714285714285</v>
      </c>
      <c r="I130" s="34">
        <f t="shared" ref="I130:P130" si="125">+H130</f>
        <v>0.14285714285714285</v>
      </c>
      <c r="J130" s="34">
        <f t="shared" si="125"/>
        <v>0.14285714285714285</v>
      </c>
      <c r="K130" s="34">
        <f t="shared" si="125"/>
        <v>0.14285714285714285</v>
      </c>
      <c r="L130" s="34">
        <f t="shared" si="125"/>
        <v>0.14285714285714285</v>
      </c>
      <c r="M130" s="34">
        <f t="shared" si="125"/>
        <v>0.14285714285714285</v>
      </c>
      <c r="N130" s="34">
        <f t="shared" si="125"/>
        <v>0.14285714285714285</v>
      </c>
      <c r="O130" s="34">
        <f t="shared" si="125"/>
        <v>0.14285714285714285</v>
      </c>
      <c r="P130" s="34">
        <f t="shared" si="125"/>
        <v>0.14285714285714285</v>
      </c>
    </row>
    <row r="131" spans="1:16" ht="14.25" customHeight="1" x14ac:dyDescent="0.3">
      <c r="A131" s="4"/>
      <c r="B131" s="4"/>
      <c r="C131" s="4" t="s">
        <v>382</v>
      </c>
      <c r="D131" s="6" t="s">
        <v>322</v>
      </c>
      <c r="E131" s="6" t="s">
        <v>39</v>
      </c>
      <c r="F131" s="102">
        <v>0.14285714285714285</v>
      </c>
      <c r="G131" s="4"/>
      <c r="H131" s="34">
        <f t="shared" si="118"/>
        <v>0.14285714285714285</v>
      </c>
      <c r="I131" s="34">
        <f t="shared" ref="I131:P131" si="126">+H131</f>
        <v>0.14285714285714285</v>
      </c>
      <c r="J131" s="34">
        <f t="shared" si="126"/>
        <v>0.14285714285714285</v>
      </c>
      <c r="K131" s="34">
        <f t="shared" si="126"/>
        <v>0.14285714285714285</v>
      </c>
      <c r="L131" s="34">
        <f t="shared" si="126"/>
        <v>0.14285714285714285</v>
      </c>
      <c r="M131" s="34">
        <f t="shared" si="126"/>
        <v>0.14285714285714285</v>
      </c>
      <c r="N131" s="34">
        <f t="shared" si="126"/>
        <v>0.14285714285714285</v>
      </c>
      <c r="O131" s="34">
        <f t="shared" si="126"/>
        <v>0.14285714285714285</v>
      </c>
      <c r="P131" s="34">
        <f t="shared" si="126"/>
        <v>0.14285714285714285</v>
      </c>
    </row>
    <row r="132" spans="1:16" ht="14.25" customHeight="1" x14ac:dyDescent="0.3">
      <c r="A132" s="4"/>
      <c r="B132" s="4"/>
      <c r="C132" s="4" t="s">
        <v>383</v>
      </c>
      <c r="D132" s="6" t="s">
        <v>322</v>
      </c>
      <c r="E132" s="6" t="s">
        <v>39</v>
      </c>
      <c r="F132" s="102">
        <v>0.2</v>
      </c>
      <c r="G132" s="4"/>
      <c r="H132" s="34">
        <f t="shared" si="118"/>
        <v>0.2</v>
      </c>
      <c r="I132" s="34">
        <f t="shared" ref="I132:P132" si="127">+H132</f>
        <v>0.2</v>
      </c>
      <c r="J132" s="34">
        <f t="shared" si="127"/>
        <v>0.2</v>
      </c>
      <c r="K132" s="34">
        <f t="shared" si="127"/>
        <v>0.2</v>
      </c>
      <c r="L132" s="34">
        <f t="shared" si="127"/>
        <v>0.2</v>
      </c>
      <c r="M132" s="34">
        <f t="shared" si="127"/>
        <v>0.2</v>
      </c>
      <c r="N132" s="34">
        <f t="shared" si="127"/>
        <v>0.2</v>
      </c>
      <c r="O132" s="34">
        <f t="shared" si="127"/>
        <v>0.2</v>
      </c>
      <c r="P132" s="34">
        <f t="shared" si="127"/>
        <v>0.2</v>
      </c>
    </row>
    <row r="133" spans="1:16" ht="14.25" customHeight="1" x14ac:dyDescent="0.3">
      <c r="A133" s="4"/>
      <c r="B133" s="4"/>
      <c r="C133" s="4" t="s">
        <v>384</v>
      </c>
      <c r="D133" s="6" t="s">
        <v>322</v>
      </c>
      <c r="E133" s="6" t="s">
        <v>39</v>
      </c>
      <c r="F133" s="102">
        <v>0.2</v>
      </c>
      <c r="G133" s="4"/>
      <c r="H133" s="34">
        <f t="shared" si="118"/>
        <v>0.2</v>
      </c>
      <c r="I133" s="34">
        <f t="shared" ref="I133:P133" si="128">+H133</f>
        <v>0.2</v>
      </c>
      <c r="J133" s="34">
        <f t="shared" si="128"/>
        <v>0.2</v>
      </c>
      <c r="K133" s="34">
        <f t="shared" si="128"/>
        <v>0.2</v>
      </c>
      <c r="L133" s="34">
        <f t="shared" si="128"/>
        <v>0.2</v>
      </c>
      <c r="M133" s="34">
        <f t="shared" si="128"/>
        <v>0.2</v>
      </c>
      <c r="N133" s="34">
        <f t="shared" si="128"/>
        <v>0.2</v>
      </c>
      <c r="O133" s="34">
        <f t="shared" si="128"/>
        <v>0.2</v>
      </c>
      <c r="P133" s="34">
        <f t="shared" si="128"/>
        <v>0.2</v>
      </c>
    </row>
    <row r="134" spans="1:16" ht="14.25" customHeight="1" x14ac:dyDescent="0.3">
      <c r="A134" s="4"/>
      <c r="B134" s="4"/>
      <c r="C134" s="4" t="s">
        <v>348</v>
      </c>
      <c r="D134" s="6" t="s">
        <v>322</v>
      </c>
      <c r="E134" s="6" t="s">
        <v>39</v>
      </c>
      <c r="F134" s="102">
        <v>0.14285714285714285</v>
      </c>
      <c r="G134" s="4"/>
      <c r="H134" s="34">
        <f t="shared" si="118"/>
        <v>0.14285714285714285</v>
      </c>
      <c r="I134" s="34">
        <f t="shared" ref="I134:P134" si="129">+H134</f>
        <v>0.14285714285714285</v>
      </c>
      <c r="J134" s="34">
        <f t="shared" si="129"/>
        <v>0.14285714285714285</v>
      </c>
      <c r="K134" s="34">
        <f t="shared" si="129"/>
        <v>0.14285714285714285</v>
      </c>
      <c r="L134" s="34">
        <f t="shared" si="129"/>
        <v>0.14285714285714285</v>
      </c>
      <c r="M134" s="34">
        <f t="shared" si="129"/>
        <v>0.14285714285714285</v>
      </c>
      <c r="N134" s="34">
        <f t="shared" si="129"/>
        <v>0.14285714285714285</v>
      </c>
      <c r="O134" s="34">
        <f t="shared" si="129"/>
        <v>0.14285714285714285</v>
      </c>
      <c r="P134" s="34">
        <f t="shared" si="129"/>
        <v>0.14285714285714285</v>
      </c>
    </row>
    <row r="135" spans="1:16" ht="14.25" customHeight="1" x14ac:dyDescent="0.3">
      <c r="A135" s="4"/>
      <c r="B135" s="4"/>
      <c r="C135" s="4" t="s">
        <v>385</v>
      </c>
      <c r="D135" s="6" t="s">
        <v>322</v>
      </c>
      <c r="E135" s="6" t="s">
        <v>39</v>
      </c>
      <c r="F135" s="102">
        <v>0.14285714285714285</v>
      </c>
      <c r="G135" s="4"/>
      <c r="H135" s="34">
        <f t="shared" si="118"/>
        <v>0.14285714285714285</v>
      </c>
      <c r="I135" s="34">
        <f t="shared" ref="I135:P135" si="130">+H135</f>
        <v>0.14285714285714285</v>
      </c>
      <c r="J135" s="34">
        <f t="shared" si="130"/>
        <v>0.14285714285714285</v>
      </c>
      <c r="K135" s="34">
        <f t="shared" si="130"/>
        <v>0.14285714285714285</v>
      </c>
      <c r="L135" s="34">
        <f t="shared" si="130"/>
        <v>0.14285714285714285</v>
      </c>
      <c r="M135" s="34">
        <f t="shared" si="130"/>
        <v>0.14285714285714285</v>
      </c>
      <c r="N135" s="34">
        <f t="shared" si="130"/>
        <v>0.14285714285714285</v>
      </c>
      <c r="O135" s="34">
        <f t="shared" si="130"/>
        <v>0.14285714285714285</v>
      </c>
      <c r="P135" s="34">
        <f t="shared" si="130"/>
        <v>0.14285714285714285</v>
      </c>
    </row>
    <row r="136" spans="1:16" ht="14.25" customHeight="1" x14ac:dyDescent="0.3">
      <c r="A136" s="4"/>
      <c r="B136" s="4"/>
      <c r="C136" s="4" t="s">
        <v>386</v>
      </c>
      <c r="D136" s="6" t="s">
        <v>322</v>
      </c>
      <c r="E136" s="6" t="s">
        <v>39</v>
      </c>
      <c r="F136" s="102">
        <v>0.05</v>
      </c>
      <c r="G136" s="4"/>
      <c r="H136" s="34">
        <f t="shared" si="118"/>
        <v>0.05</v>
      </c>
      <c r="I136" s="34">
        <f t="shared" ref="I136:P136" si="131">+H136</f>
        <v>0.05</v>
      </c>
      <c r="J136" s="34">
        <f t="shared" si="131"/>
        <v>0.05</v>
      </c>
      <c r="K136" s="34">
        <f t="shared" si="131"/>
        <v>0.05</v>
      </c>
      <c r="L136" s="34">
        <f t="shared" si="131"/>
        <v>0.05</v>
      </c>
      <c r="M136" s="34">
        <f t="shared" si="131"/>
        <v>0.05</v>
      </c>
      <c r="N136" s="34">
        <f t="shared" si="131"/>
        <v>0.05</v>
      </c>
      <c r="O136" s="34">
        <f t="shared" si="131"/>
        <v>0.05</v>
      </c>
      <c r="P136" s="34">
        <f t="shared" si="131"/>
        <v>0.05</v>
      </c>
    </row>
    <row r="137" spans="1:16" ht="14.25" customHeight="1" x14ac:dyDescent="0.3">
      <c r="A137" s="4"/>
      <c r="B137" s="4"/>
      <c r="C137" s="4" t="s">
        <v>387</v>
      </c>
      <c r="D137" s="6" t="s">
        <v>322</v>
      </c>
      <c r="E137" s="6" t="s">
        <v>39</v>
      </c>
      <c r="F137" s="102">
        <v>0.14285714285714285</v>
      </c>
      <c r="G137" s="4"/>
      <c r="H137" s="34">
        <f t="shared" si="118"/>
        <v>0.14285714285714285</v>
      </c>
      <c r="I137" s="34">
        <f t="shared" ref="I137:P137" si="132">+H137</f>
        <v>0.14285714285714285</v>
      </c>
      <c r="J137" s="34">
        <f t="shared" si="132"/>
        <v>0.14285714285714285</v>
      </c>
      <c r="K137" s="34">
        <f t="shared" si="132"/>
        <v>0.14285714285714285</v>
      </c>
      <c r="L137" s="34">
        <f t="shared" si="132"/>
        <v>0.14285714285714285</v>
      </c>
      <c r="M137" s="34">
        <f t="shared" si="132"/>
        <v>0.14285714285714285</v>
      </c>
      <c r="N137" s="34">
        <f t="shared" si="132"/>
        <v>0.14285714285714285</v>
      </c>
      <c r="O137" s="34">
        <f t="shared" si="132"/>
        <v>0.14285714285714285</v>
      </c>
      <c r="P137" s="34">
        <f t="shared" si="132"/>
        <v>0.14285714285714285</v>
      </c>
    </row>
    <row r="138" spans="1:16" ht="14.25" customHeight="1" x14ac:dyDescent="0.3">
      <c r="A138" s="4"/>
      <c r="B138" s="4"/>
      <c r="C138" s="4" t="s">
        <v>388</v>
      </c>
      <c r="D138" s="6" t="s">
        <v>322</v>
      </c>
      <c r="E138" s="6" t="s">
        <v>39</v>
      </c>
      <c r="F138" s="102">
        <v>6.6666666666666666E-2</v>
      </c>
      <c r="G138" s="4"/>
      <c r="H138" s="34">
        <f t="shared" si="118"/>
        <v>6.6666666666666666E-2</v>
      </c>
      <c r="I138" s="34">
        <f t="shared" ref="I138:P138" si="133">+H138</f>
        <v>6.6666666666666666E-2</v>
      </c>
      <c r="J138" s="34">
        <f t="shared" si="133"/>
        <v>6.6666666666666666E-2</v>
      </c>
      <c r="K138" s="34">
        <f t="shared" si="133"/>
        <v>6.6666666666666666E-2</v>
      </c>
      <c r="L138" s="34">
        <f t="shared" si="133"/>
        <v>6.6666666666666666E-2</v>
      </c>
      <c r="M138" s="34">
        <f t="shared" si="133"/>
        <v>6.6666666666666666E-2</v>
      </c>
      <c r="N138" s="34">
        <f t="shared" si="133"/>
        <v>6.6666666666666666E-2</v>
      </c>
      <c r="O138" s="34">
        <f t="shared" si="133"/>
        <v>6.6666666666666666E-2</v>
      </c>
      <c r="P138" s="34">
        <f t="shared" si="133"/>
        <v>6.6666666666666666E-2</v>
      </c>
    </row>
    <row r="139" spans="1:16" ht="14.25" customHeight="1" x14ac:dyDescent="0.3">
      <c r="A139" s="4"/>
      <c r="B139" s="4"/>
      <c r="C139" s="4" t="s">
        <v>389</v>
      </c>
      <c r="D139" s="6" t="s">
        <v>322</v>
      </c>
      <c r="E139" s="6" t="s">
        <v>39</v>
      </c>
      <c r="F139" s="102">
        <v>0.1</v>
      </c>
      <c r="G139" s="4"/>
      <c r="H139" s="34">
        <f t="shared" si="118"/>
        <v>0.1</v>
      </c>
      <c r="I139" s="34">
        <f t="shared" ref="I139:P139" si="134">+H139</f>
        <v>0.1</v>
      </c>
      <c r="J139" s="34">
        <f t="shared" si="134"/>
        <v>0.1</v>
      </c>
      <c r="K139" s="34">
        <f t="shared" si="134"/>
        <v>0.1</v>
      </c>
      <c r="L139" s="34">
        <f t="shared" si="134"/>
        <v>0.1</v>
      </c>
      <c r="M139" s="34">
        <f t="shared" si="134"/>
        <v>0.1</v>
      </c>
      <c r="N139" s="34">
        <f t="shared" si="134"/>
        <v>0.1</v>
      </c>
      <c r="O139" s="34">
        <f t="shared" si="134"/>
        <v>0.1</v>
      </c>
      <c r="P139" s="34">
        <f t="shared" si="134"/>
        <v>0.1</v>
      </c>
    </row>
    <row r="140" spans="1:16" ht="14.25" customHeight="1" x14ac:dyDescent="0.3">
      <c r="A140" s="4"/>
      <c r="B140" s="4"/>
      <c r="C140" s="4" t="s">
        <v>349</v>
      </c>
      <c r="D140" s="6" t="s">
        <v>322</v>
      </c>
      <c r="E140" s="6" t="s">
        <v>39</v>
      </c>
      <c r="F140" s="102">
        <v>0.14285714285714285</v>
      </c>
      <c r="G140" s="4"/>
      <c r="H140" s="34">
        <f t="shared" si="118"/>
        <v>0.14285714285714285</v>
      </c>
      <c r="I140" s="34">
        <f t="shared" ref="I140:P140" si="135">+H140</f>
        <v>0.14285714285714285</v>
      </c>
      <c r="J140" s="34">
        <f t="shared" si="135"/>
        <v>0.14285714285714285</v>
      </c>
      <c r="K140" s="34">
        <f t="shared" si="135"/>
        <v>0.14285714285714285</v>
      </c>
      <c r="L140" s="34">
        <f t="shared" si="135"/>
        <v>0.14285714285714285</v>
      </c>
      <c r="M140" s="34">
        <f t="shared" si="135"/>
        <v>0.14285714285714285</v>
      </c>
      <c r="N140" s="34">
        <f t="shared" si="135"/>
        <v>0.14285714285714285</v>
      </c>
      <c r="O140" s="34">
        <f t="shared" si="135"/>
        <v>0.14285714285714285</v>
      </c>
      <c r="P140" s="34">
        <f t="shared" si="135"/>
        <v>0.14285714285714285</v>
      </c>
    </row>
    <row r="141" spans="1:16" ht="14.25" customHeight="1" x14ac:dyDescent="0.3">
      <c r="A141" s="4"/>
      <c r="B141" s="4"/>
      <c r="C141" s="4" t="s">
        <v>390</v>
      </c>
      <c r="D141" s="6" t="s">
        <v>322</v>
      </c>
      <c r="E141" s="6" t="s">
        <v>39</v>
      </c>
      <c r="F141" s="102">
        <v>6.6666666666666666E-2</v>
      </c>
      <c r="G141" s="4"/>
      <c r="H141" s="34">
        <f t="shared" si="118"/>
        <v>6.6666666666666666E-2</v>
      </c>
      <c r="I141" s="34">
        <f t="shared" ref="I141:P141" si="136">+H141</f>
        <v>6.6666666666666666E-2</v>
      </c>
      <c r="J141" s="34">
        <f t="shared" si="136"/>
        <v>6.6666666666666666E-2</v>
      </c>
      <c r="K141" s="34">
        <f t="shared" si="136"/>
        <v>6.6666666666666666E-2</v>
      </c>
      <c r="L141" s="34">
        <f t="shared" si="136"/>
        <v>6.6666666666666666E-2</v>
      </c>
      <c r="M141" s="34">
        <f t="shared" si="136"/>
        <v>6.6666666666666666E-2</v>
      </c>
      <c r="N141" s="34">
        <f t="shared" si="136"/>
        <v>6.6666666666666666E-2</v>
      </c>
      <c r="O141" s="34">
        <f t="shared" si="136"/>
        <v>6.6666666666666666E-2</v>
      </c>
      <c r="P141" s="34">
        <f t="shared" si="136"/>
        <v>6.6666666666666666E-2</v>
      </c>
    </row>
    <row r="142" spans="1:16" ht="14.25" customHeight="1" x14ac:dyDescent="0.3">
      <c r="A142" s="4"/>
      <c r="B142" s="4"/>
      <c r="C142" s="4" t="s">
        <v>391</v>
      </c>
      <c r="D142" s="6" t="s">
        <v>322</v>
      </c>
      <c r="E142" s="6" t="s">
        <v>39</v>
      </c>
      <c r="F142" s="102">
        <v>0.14285714285714285</v>
      </c>
      <c r="G142" s="4"/>
      <c r="H142" s="34">
        <f t="shared" si="118"/>
        <v>0.14285714285714285</v>
      </c>
      <c r="I142" s="34">
        <f t="shared" ref="I142:P142" si="137">+H142</f>
        <v>0.14285714285714285</v>
      </c>
      <c r="J142" s="34">
        <f t="shared" si="137"/>
        <v>0.14285714285714285</v>
      </c>
      <c r="K142" s="34">
        <f t="shared" si="137"/>
        <v>0.14285714285714285</v>
      </c>
      <c r="L142" s="34">
        <f t="shared" si="137"/>
        <v>0.14285714285714285</v>
      </c>
      <c r="M142" s="34">
        <f t="shared" si="137"/>
        <v>0.14285714285714285</v>
      </c>
      <c r="N142" s="34">
        <f t="shared" si="137"/>
        <v>0.14285714285714285</v>
      </c>
      <c r="O142" s="34">
        <f t="shared" si="137"/>
        <v>0.14285714285714285</v>
      </c>
      <c r="P142" s="34">
        <f t="shared" si="137"/>
        <v>0.14285714285714285</v>
      </c>
    </row>
    <row r="143" spans="1:16" ht="14.25" customHeight="1" x14ac:dyDescent="0.3">
      <c r="A143" s="4"/>
      <c r="B143" s="4"/>
      <c r="C143" s="4" t="s">
        <v>392</v>
      </c>
      <c r="D143" s="6" t="s">
        <v>322</v>
      </c>
      <c r="E143" s="6" t="s">
        <v>39</v>
      </c>
      <c r="F143" s="102">
        <v>6.6666666666666666E-2</v>
      </c>
      <c r="G143" s="4"/>
      <c r="H143" s="34">
        <f t="shared" si="118"/>
        <v>6.6666666666666666E-2</v>
      </c>
      <c r="I143" s="34">
        <f t="shared" ref="I143:P143" si="138">+H143</f>
        <v>6.6666666666666666E-2</v>
      </c>
      <c r="J143" s="34">
        <f t="shared" si="138"/>
        <v>6.6666666666666666E-2</v>
      </c>
      <c r="K143" s="34">
        <f t="shared" si="138"/>
        <v>6.6666666666666666E-2</v>
      </c>
      <c r="L143" s="34">
        <f t="shared" si="138"/>
        <v>6.6666666666666666E-2</v>
      </c>
      <c r="M143" s="34">
        <f t="shared" si="138"/>
        <v>6.6666666666666666E-2</v>
      </c>
      <c r="N143" s="34">
        <f t="shared" si="138"/>
        <v>6.6666666666666666E-2</v>
      </c>
      <c r="O143" s="34">
        <f t="shared" si="138"/>
        <v>6.6666666666666666E-2</v>
      </c>
      <c r="P143" s="34">
        <f t="shared" si="138"/>
        <v>6.6666666666666666E-2</v>
      </c>
    </row>
    <row r="144" spans="1:16" ht="14.25" customHeight="1" x14ac:dyDescent="0.3">
      <c r="A144" s="4"/>
      <c r="B144" s="4"/>
      <c r="C144" s="4" t="s">
        <v>393</v>
      </c>
      <c r="D144" s="6" t="s">
        <v>322</v>
      </c>
      <c r="E144" s="6" t="s">
        <v>39</v>
      </c>
      <c r="F144" s="102">
        <v>0.14285714285714285</v>
      </c>
      <c r="G144" s="4"/>
      <c r="H144" s="34">
        <f t="shared" si="118"/>
        <v>0.14285714285714285</v>
      </c>
      <c r="I144" s="34">
        <f t="shared" ref="I144:P144" si="139">+H144</f>
        <v>0.14285714285714285</v>
      </c>
      <c r="J144" s="34">
        <f t="shared" si="139"/>
        <v>0.14285714285714285</v>
      </c>
      <c r="K144" s="34">
        <f t="shared" si="139"/>
        <v>0.14285714285714285</v>
      </c>
      <c r="L144" s="34">
        <f t="shared" si="139"/>
        <v>0.14285714285714285</v>
      </c>
      <c r="M144" s="34">
        <f t="shared" si="139"/>
        <v>0.14285714285714285</v>
      </c>
      <c r="N144" s="34">
        <f t="shared" si="139"/>
        <v>0.14285714285714285</v>
      </c>
      <c r="O144" s="34">
        <f t="shared" si="139"/>
        <v>0.14285714285714285</v>
      </c>
      <c r="P144" s="34">
        <f t="shared" si="139"/>
        <v>0.14285714285714285</v>
      </c>
    </row>
    <row r="145" spans="1:16" ht="14.25" customHeight="1" x14ac:dyDescent="0.3">
      <c r="A145" s="4"/>
      <c r="B145" s="4"/>
      <c r="C145" s="4" t="s">
        <v>394</v>
      </c>
      <c r="D145" s="6" t="s">
        <v>322</v>
      </c>
      <c r="E145" s="6" t="s">
        <v>39</v>
      </c>
      <c r="F145" s="102">
        <v>0.33333333333333331</v>
      </c>
      <c r="G145" s="4"/>
      <c r="H145" s="34">
        <f t="shared" ref="H145:H146" si="140">+F145</f>
        <v>0.33333333333333331</v>
      </c>
      <c r="I145" s="34">
        <f t="shared" ref="I145:P145" si="141">+H145</f>
        <v>0.33333333333333331</v>
      </c>
      <c r="J145" s="34">
        <f t="shared" si="141"/>
        <v>0.33333333333333331</v>
      </c>
      <c r="K145" s="34">
        <f t="shared" si="141"/>
        <v>0.33333333333333331</v>
      </c>
      <c r="L145" s="34">
        <f t="shared" si="141"/>
        <v>0.33333333333333331</v>
      </c>
      <c r="M145" s="34">
        <f t="shared" si="141"/>
        <v>0.33333333333333331</v>
      </c>
      <c r="N145" s="34">
        <f t="shared" si="141"/>
        <v>0.33333333333333331</v>
      </c>
      <c r="O145" s="34">
        <f t="shared" si="141"/>
        <v>0.33333333333333331</v>
      </c>
      <c r="P145" s="34">
        <f t="shared" si="141"/>
        <v>0.33333333333333331</v>
      </c>
    </row>
    <row r="146" spans="1:16" ht="14.25" customHeight="1" x14ac:dyDescent="0.3">
      <c r="A146" s="4"/>
      <c r="B146" s="4"/>
      <c r="C146" s="4" t="s">
        <v>395</v>
      </c>
      <c r="D146" s="6" t="s">
        <v>322</v>
      </c>
      <c r="E146" s="6" t="s">
        <v>39</v>
      </c>
      <c r="F146" s="102">
        <v>0.33333333333333331</v>
      </c>
      <c r="G146" s="4"/>
      <c r="H146" s="34">
        <f t="shared" si="140"/>
        <v>0.33333333333333331</v>
      </c>
      <c r="I146" s="34">
        <f t="shared" ref="I146:P147" si="142">+H146</f>
        <v>0.33333333333333331</v>
      </c>
      <c r="J146" s="34">
        <f t="shared" si="142"/>
        <v>0.33333333333333331</v>
      </c>
      <c r="K146" s="34">
        <f t="shared" si="142"/>
        <v>0.33333333333333331</v>
      </c>
      <c r="L146" s="34">
        <f t="shared" si="142"/>
        <v>0.33333333333333331</v>
      </c>
      <c r="M146" s="34">
        <f t="shared" si="142"/>
        <v>0.33333333333333331</v>
      </c>
      <c r="N146" s="34">
        <f t="shared" si="142"/>
        <v>0.33333333333333331</v>
      </c>
      <c r="O146" s="34">
        <f t="shared" si="142"/>
        <v>0.33333333333333331</v>
      </c>
      <c r="P146" s="34">
        <f t="shared" si="142"/>
        <v>0.33333333333333331</v>
      </c>
    </row>
    <row r="147" spans="1:16" ht="14.25" customHeight="1" x14ac:dyDescent="0.3">
      <c r="A147" s="4"/>
      <c r="B147" s="4"/>
      <c r="C147" s="4" t="s">
        <v>396</v>
      </c>
      <c r="D147" s="6" t="s">
        <v>322</v>
      </c>
      <c r="E147" s="6" t="s">
        <v>39</v>
      </c>
      <c r="F147" s="102">
        <v>0.05</v>
      </c>
      <c r="G147" s="4"/>
      <c r="H147" s="34">
        <f t="shared" ref="H147" si="143">+F147</f>
        <v>0.05</v>
      </c>
      <c r="I147" s="34">
        <f t="shared" si="142"/>
        <v>0.05</v>
      </c>
      <c r="J147" s="34">
        <f t="shared" si="142"/>
        <v>0.05</v>
      </c>
      <c r="K147" s="34">
        <f t="shared" si="142"/>
        <v>0.05</v>
      </c>
      <c r="L147" s="34">
        <f t="shared" si="142"/>
        <v>0.05</v>
      </c>
      <c r="M147" s="34">
        <f t="shared" si="142"/>
        <v>0.05</v>
      </c>
      <c r="N147" s="34">
        <f t="shared" si="142"/>
        <v>0.05</v>
      </c>
      <c r="O147" s="34">
        <f t="shared" si="142"/>
        <v>0.05</v>
      </c>
      <c r="P147" s="34">
        <f t="shared" si="142"/>
        <v>0.05</v>
      </c>
    </row>
    <row r="148" spans="1:16" ht="14.25" customHeight="1" x14ac:dyDescent="0.3">
      <c r="A148" s="4"/>
      <c r="B148" s="4"/>
      <c r="C148" s="4" t="s">
        <v>385</v>
      </c>
      <c r="D148" s="6" t="s">
        <v>322</v>
      </c>
      <c r="E148" s="6" t="s">
        <v>39</v>
      </c>
      <c r="F148" s="102">
        <v>0.14285714285714285</v>
      </c>
      <c r="G148" s="4"/>
      <c r="H148" s="34">
        <f t="shared" ref="H148:H161" si="144">+F148</f>
        <v>0.14285714285714285</v>
      </c>
      <c r="I148" s="34">
        <f t="shared" ref="I148:P148" si="145">+H148</f>
        <v>0.14285714285714285</v>
      </c>
      <c r="J148" s="34">
        <f t="shared" si="145"/>
        <v>0.14285714285714285</v>
      </c>
      <c r="K148" s="34">
        <f t="shared" si="145"/>
        <v>0.14285714285714285</v>
      </c>
      <c r="L148" s="34">
        <f t="shared" si="145"/>
        <v>0.14285714285714285</v>
      </c>
      <c r="M148" s="34">
        <f t="shared" si="145"/>
        <v>0.14285714285714285</v>
      </c>
      <c r="N148" s="34">
        <f t="shared" si="145"/>
        <v>0.14285714285714285</v>
      </c>
      <c r="O148" s="34">
        <f t="shared" si="145"/>
        <v>0.14285714285714285</v>
      </c>
      <c r="P148" s="34">
        <f t="shared" si="145"/>
        <v>0.14285714285714285</v>
      </c>
    </row>
    <row r="149" spans="1:16" ht="14.25" customHeight="1" x14ac:dyDescent="0.3">
      <c r="A149" s="4"/>
      <c r="B149" s="4"/>
      <c r="C149" s="4" t="s">
        <v>349</v>
      </c>
      <c r="D149" s="6" t="s">
        <v>322</v>
      </c>
      <c r="E149" s="6" t="s">
        <v>39</v>
      </c>
      <c r="F149" s="102">
        <v>0.14285714285714285</v>
      </c>
      <c r="G149" s="4"/>
      <c r="H149" s="34">
        <f t="shared" si="144"/>
        <v>0.14285714285714285</v>
      </c>
      <c r="I149" s="34">
        <f t="shared" ref="I149:P149" si="146">+H149</f>
        <v>0.14285714285714285</v>
      </c>
      <c r="J149" s="34">
        <f t="shared" si="146"/>
        <v>0.14285714285714285</v>
      </c>
      <c r="K149" s="34">
        <f t="shared" si="146"/>
        <v>0.14285714285714285</v>
      </c>
      <c r="L149" s="34">
        <f t="shared" si="146"/>
        <v>0.14285714285714285</v>
      </c>
      <c r="M149" s="34">
        <f t="shared" si="146"/>
        <v>0.14285714285714285</v>
      </c>
      <c r="N149" s="34">
        <f t="shared" si="146"/>
        <v>0.14285714285714285</v>
      </c>
      <c r="O149" s="34">
        <f t="shared" si="146"/>
        <v>0.14285714285714285</v>
      </c>
      <c r="P149" s="34">
        <f t="shared" si="146"/>
        <v>0.14285714285714285</v>
      </c>
    </row>
    <row r="150" spans="1:16" ht="14.25" customHeight="1" x14ac:dyDescent="0.3">
      <c r="A150" s="4"/>
      <c r="B150" s="4"/>
      <c r="C150" s="4" t="s">
        <v>397</v>
      </c>
      <c r="D150" s="6" t="s">
        <v>322</v>
      </c>
      <c r="E150" s="6" t="s">
        <v>39</v>
      </c>
      <c r="F150" s="102">
        <v>0.33333333333333331</v>
      </c>
      <c r="G150" s="4"/>
      <c r="H150" s="34">
        <f t="shared" si="144"/>
        <v>0.33333333333333331</v>
      </c>
      <c r="I150" s="34">
        <f t="shared" ref="I150:P150" si="147">+H150</f>
        <v>0.33333333333333331</v>
      </c>
      <c r="J150" s="34">
        <f t="shared" si="147"/>
        <v>0.33333333333333331</v>
      </c>
      <c r="K150" s="34">
        <f t="shared" si="147"/>
        <v>0.33333333333333331</v>
      </c>
      <c r="L150" s="34">
        <f t="shared" si="147"/>
        <v>0.33333333333333331</v>
      </c>
      <c r="M150" s="34">
        <f t="shared" si="147"/>
        <v>0.33333333333333331</v>
      </c>
      <c r="N150" s="34">
        <f t="shared" si="147"/>
        <v>0.33333333333333331</v>
      </c>
      <c r="O150" s="34">
        <f t="shared" si="147"/>
        <v>0.33333333333333331</v>
      </c>
      <c r="P150" s="34">
        <f t="shared" si="147"/>
        <v>0.33333333333333331</v>
      </c>
    </row>
    <row r="151" spans="1:16" ht="14.25" customHeight="1" x14ac:dyDescent="0.3">
      <c r="A151" s="4"/>
      <c r="B151" s="4"/>
      <c r="C151" s="4" t="s">
        <v>390</v>
      </c>
      <c r="D151" s="6" t="s">
        <v>322</v>
      </c>
      <c r="E151" s="6" t="s">
        <v>39</v>
      </c>
      <c r="F151" s="102">
        <v>6.6666666666666666E-2</v>
      </c>
      <c r="G151" s="4"/>
      <c r="H151" s="34">
        <f t="shared" si="144"/>
        <v>6.6666666666666666E-2</v>
      </c>
      <c r="I151" s="34">
        <f t="shared" ref="I151:P151" si="148">+H151</f>
        <v>6.6666666666666666E-2</v>
      </c>
      <c r="J151" s="34">
        <f t="shared" si="148"/>
        <v>6.6666666666666666E-2</v>
      </c>
      <c r="K151" s="34">
        <f t="shared" si="148"/>
        <v>6.6666666666666666E-2</v>
      </c>
      <c r="L151" s="34">
        <f t="shared" si="148"/>
        <v>6.6666666666666666E-2</v>
      </c>
      <c r="M151" s="34">
        <f t="shared" si="148"/>
        <v>6.6666666666666666E-2</v>
      </c>
      <c r="N151" s="34">
        <f t="shared" si="148"/>
        <v>6.6666666666666666E-2</v>
      </c>
      <c r="O151" s="34">
        <f t="shared" si="148"/>
        <v>6.6666666666666666E-2</v>
      </c>
      <c r="P151" s="34">
        <f t="shared" si="148"/>
        <v>6.6666666666666666E-2</v>
      </c>
    </row>
    <row r="152" spans="1:16" ht="14.25" customHeight="1" x14ac:dyDescent="0.3">
      <c r="A152" s="4"/>
      <c r="B152" s="4"/>
      <c r="C152" s="4" t="s">
        <v>398</v>
      </c>
      <c r="D152" s="6" t="s">
        <v>322</v>
      </c>
      <c r="E152" s="6" t="s">
        <v>39</v>
      </c>
      <c r="F152" s="102">
        <v>0.14285714285714285</v>
      </c>
      <c r="G152" s="4"/>
      <c r="H152" s="34">
        <f t="shared" si="144"/>
        <v>0.14285714285714285</v>
      </c>
      <c r="I152" s="34">
        <f t="shared" ref="I152:P152" si="149">+H152</f>
        <v>0.14285714285714285</v>
      </c>
      <c r="J152" s="34">
        <f t="shared" si="149"/>
        <v>0.14285714285714285</v>
      </c>
      <c r="K152" s="34">
        <f t="shared" si="149"/>
        <v>0.14285714285714285</v>
      </c>
      <c r="L152" s="34">
        <f t="shared" si="149"/>
        <v>0.14285714285714285</v>
      </c>
      <c r="M152" s="34">
        <f t="shared" si="149"/>
        <v>0.14285714285714285</v>
      </c>
      <c r="N152" s="34">
        <f t="shared" si="149"/>
        <v>0.14285714285714285</v>
      </c>
      <c r="O152" s="34">
        <f t="shared" si="149"/>
        <v>0.14285714285714285</v>
      </c>
      <c r="P152" s="34">
        <f t="shared" si="149"/>
        <v>0.14285714285714285</v>
      </c>
    </row>
    <row r="153" spans="1:16" ht="14.25" customHeight="1" x14ac:dyDescent="0.3">
      <c r="A153" s="4"/>
      <c r="B153" s="4"/>
      <c r="C153" s="4" t="s">
        <v>399</v>
      </c>
      <c r="D153" s="6" t="s">
        <v>322</v>
      </c>
      <c r="E153" s="6" t="s">
        <v>39</v>
      </c>
      <c r="F153" s="102">
        <v>0.14285714285714285</v>
      </c>
      <c r="G153" s="4"/>
      <c r="H153" s="34">
        <f t="shared" si="144"/>
        <v>0.14285714285714285</v>
      </c>
      <c r="I153" s="34">
        <f t="shared" ref="I153:P153" si="150">+H153</f>
        <v>0.14285714285714285</v>
      </c>
      <c r="J153" s="34">
        <f t="shared" si="150"/>
        <v>0.14285714285714285</v>
      </c>
      <c r="K153" s="34">
        <f t="shared" si="150"/>
        <v>0.14285714285714285</v>
      </c>
      <c r="L153" s="34">
        <f t="shared" si="150"/>
        <v>0.14285714285714285</v>
      </c>
      <c r="M153" s="34">
        <f t="shared" si="150"/>
        <v>0.14285714285714285</v>
      </c>
      <c r="N153" s="34">
        <f t="shared" si="150"/>
        <v>0.14285714285714285</v>
      </c>
      <c r="O153" s="34">
        <f t="shared" si="150"/>
        <v>0.14285714285714285</v>
      </c>
      <c r="P153" s="34">
        <f t="shared" si="150"/>
        <v>0.14285714285714285</v>
      </c>
    </row>
    <row r="154" spans="1:16" ht="14.25" customHeight="1" x14ac:dyDescent="0.3">
      <c r="A154" s="4"/>
      <c r="B154" s="4"/>
      <c r="C154" s="4" t="s">
        <v>400</v>
      </c>
      <c r="D154" s="6" t="s">
        <v>322</v>
      </c>
      <c r="E154" s="6" t="s">
        <v>39</v>
      </c>
      <c r="F154" s="102">
        <v>0.33333333333333331</v>
      </c>
      <c r="G154" s="4"/>
      <c r="H154" s="34">
        <f t="shared" si="144"/>
        <v>0.33333333333333331</v>
      </c>
      <c r="I154" s="34">
        <f t="shared" ref="I154:P154" si="151">+H154</f>
        <v>0.33333333333333331</v>
      </c>
      <c r="J154" s="34">
        <f t="shared" si="151"/>
        <v>0.33333333333333331</v>
      </c>
      <c r="K154" s="34">
        <f t="shared" si="151"/>
        <v>0.33333333333333331</v>
      </c>
      <c r="L154" s="34">
        <f t="shared" si="151"/>
        <v>0.33333333333333331</v>
      </c>
      <c r="M154" s="34">
        <f t="shared" si="151"/>
        <v>0.33333333333333331</v>
      </c>
      <c r="N154" s="34">
        <f t="shared" si="151"/>
        <v>0.33333333333333331</v>
      </c>
      <c r="O154" s="34">
        <f t="shared" si="151"/>
        <v>0.33333333333333331</v>
      </c>
      <c r="P154" s="34">
        <f t="shared" si="151"/>
        <v>0.33333333333333331</v>
      </c>
    </row>
    <row r="155" spans="1:16" ht="14.25" customHeight="1" x14ac:dyDescent="0.3">
      <c r="A155" s="4"/>
      <c r="B155" s="4"/>
      <c r="C155" s="4" t="s">
        <v>401</v>
      </c>
      <c r="D155" s="6" t="s">
        <v>322</v>
      </c>
      <c r="E155" s="6" t="s">
        <v>39</v>
      </c>
      <c r="F155" s="102">
        <v>0.14285714285714285</v>
      </c>
      <c r="G155" s="4"/>
      <c r="H155" s="34">
        <f t="shared" si="144"/>
        <v>0.14285714285714285</v>
      </c>
      <c r="I155" s="34">
        <f t="shared" ref="I155:P155" si="152">+H155</f>
        <v>0.14285714285714285</v>
      </c>
      <c r="J155" s="34">
        <f t="shared" si="152"/>
        <v>0.14285714285714285</v>
      </c>
      <c r="K155" s="34">
        <f t="shared" si="152"/>
        <v>0.14285714285714285</v>
      </c>
      <c r="L155" s="34">
        <f t="shared" si="152"/>
        <v>0.14285714285714285</v>
      </c>
      <c r="M155" s="34">
        <f t="shared" si="152"/>
        <v>0.14285714285714285</v>
      </c>
      <c r="N155" s="34">
        <f t="shared" si="152"/>
        <v>0.14285714285714285</v>
      </c>
      <c r="O155" s="34">
        <f t="shared" si="152"/>
        <v>0.14285714285714285</v>
      </c>
      <c r="P155" s="34">
        <f t="shared" si="152"/>
        <v>0.14285714285714285</v>
      </c>
    </row>
    <row r="156" spans="1:16" ht="14.25" customHeight="1" x14ac:dyDescent="0.3">
      <c r="A156" s="4"/>
      <c r="B156" s="4"/>
      <c r="C156" s="4" t="s">
        <v>402</v>
      </c>
      <c r="D156" s="6" t="s">
        <v>322</v>
      </c>
      <c r="E156" s="6" t="s">
        <v>39</v>
      </c>
      <c r="F156" s="102">
        <v>0.14285714285714285</v>
      </c>
      <c r="G156" s="4"/>
      <c r="H156" s="34">
        <f t="shared" si="144"/>
        <v>0.14285714285714285</v>
      </c>
      <c r="I156" s="34">
        <f t="shared" ref="I156:P156" si="153">+H156</f>
        <v>0.14285714285714285</v>
      </c>
      <c r="J156" s="34">
        <f t="shared" si="153"/>
        <v>0.14285714285714285</v>
      </c>
      <c r="K156" s="34">
        <f t="shared" si="153"/>
        <v>0.14285714285714285</v>
      </c>
      <c r="L156" s="34">
        <f t="shared" si="153"/>
        <v>0.14285714285714285</v>
      </c>
      <c r="M156" s="34">
        <f t="shared" si="153"/>
        <v>0.14285714285714285</v>
      </c>
      <c r="N156" s="34">
        <f t="shared" si="153"/>
        <v>0.14285714285714285</v>
      </c>
      <c r="O156" s="34">
        <f t="shared" si="153"/>
        <v>0.14285714285714285</v>
      </c>
      <c r="P156" s="34">
        <f t="shared" si="153"/>
        <v>0.14285714285714285</v>
      </c>
    </row>
    <row r="157" spans="1:16" ht="14.25" customHeight="1" x14ac:dyDescent="0.3">
      <c r="A157" s="4"/>
      <c r="B157" s="4"/>
      <c r="C157" s="4" t="s">
        <v>403</v>
      </c>
      <c r="D157" s="6" t="s">
        <v>322</v>
      </c>
      <c r="E157" s="6" t="s">
        <v>39</v>
      </c>
      <c r="F157" s="102">
        <v>0.14285714285714285</v>
      </c>
      <c r="G157" s="4"/>
      <c r="H157" s="34">
        <f t="shared" si="144"/>
        <v>0.14285714285714285</v>
      </c>
      <c r="I157" s="34">
        <f t="shared" ref="I157:P157" si="154">+H157</f>
        <v>0.14285714285714285</v>
      </c>
      <c r="J157" s="34">
        <f t="shared" si="154"/>
        <v>0.14285714285714285</v>
      </c>
      <c r="K157" s="34">
        <f t="shared" si="154"/>
        <v>0.14285714285714285</v>
      </c>
      <c r="L157" s="34">
        <f t="shared" si="154"/>
        <v>0.14285714285714285</v>
      </c>
      <c r="M157" s="34">
        <f t="shared" si="154"/>
        <v>0.14285714285714285</v>
      </c>
      <c r="N157" s="34">
        <f t="shared" si="154"/>
        <v>0.14285714285714285</v>
      </c>
      <c r="O157" s="34">
        <f t="shared" si="154"/>
        <v>0.14285714285714285</v>
      </c>
      <c r="P157" s="34">
        <f t="shared" si="154"/>
        <v>0.14285714285714285</v>
      </c>
    </row>
    <row r="158" spans="1:16" ht="14.25" customHeight="1" x14ac:dyDescent="0.3">
      <c r="A158" s="4"/>
      <c r="B158" s="4"/>
      <c r="C158" s="4" t="s">
        <v>404</v>
      </c>
      <c r="D158" s="6" t="s">
        <v>322</v>
      </c>
      <c r="E158" s="6" t="s">
        <v>39</v>
      </c>
      <c r="F158" s="102">
        <v>0.33333333333333331</v>
      </c>
      <c r="G158" s="4"/>
      <c r="H158" s="34">
        <f t="shared" si="144"/>
        <v>0.33333333333333331</v>
      </c>
      <c r="I158" s="34">
        <f t="shared" ref="I158:P158" si="155">+H158</f>
        <v>0.33333333333333331</v>
      </c>
      <c r="J158" s="34">
        <f t="shared" si="155"/>
        <v>0.33333333333333331</v>
      </c>
      <c r="K158" s="34">
        <f t="shared" si="155"/>
        <v>0.33333333333333331</v>
      </c>
      <c r="L158" s="34">
        <f t="shared" si="155"/>
        <v>0.33333333333333331</v>
      </c>
      <c r="M158" s="34">
        <f t="shared" si="155"/>
        <v>0.33333333333333331</v>
      </c>
      <c r="N158" s="34">
        <f t="shared" si="155"/>
        <v>0.33333333333333331</v>
      </c>
      <c r="O158" s="34">
        <f t="shared" si="155"/>
        <v>0.33333333333333331</v>
      </c>
      <c r="P158" s="34">
        <f t="shared" si="155"/>
        <v>0.33333333333333331</v>
      </c>
    </row>
    <row r="159" spans="1:16" ht="14.25" customHeight="1" x14ac:dyDescent="0.3">
      <c r="A159" s="4"/>
      <c r="B159" s="4"/>
      <c r="C159" s="4" t="s">
        <v>405</v>
      </c>
      <c r="D159" s="6" t="s">
        <v>322</v>
      </c>
      <c r="E159" s="6" t="s">
        <v>39</v>
      </c>
      <c r="F159" s="102">
        <v>0.14285714285714285</v>
      </c>
      <c r="G159" s="4"/>
      <c r="H159" s="34">
        <f t="shared" si="144"/>
        <v>0.14285714285714285</v>
      </c>
      <c r="I159" s="34">
        <f t="shared" ref="I159:P159" si="156">+H159</f>
        <v>0.14285714285714285</v>
      </c>
      <c r="J159" s="34">
        <f t="shared" si="156"/>
        <v>0.14285714285714285</v>
      </c>
      <c r="K159" s="34">
        <f t="shared" si="156"/>
        <v>0.14285714285714285</v>
      </c>
      <c r="L159" s="34">
        <f t="shared" si="156"/>
        <v>0.14285714285714285</v>
      </c>
      <c r="M159" s="34">
        <f t="shared" si="156"/>
        <v>0.14285714285714285</v>
      </c>
      <c r="N159" s="34">
        <f t="shared" si="156"/>
        <v>0.14285714285714285</v>
      </c>
      <c r="O159" s="34">
        <f t="shared" si="156"/>
        <v>0.14285714285714285</v>
      </c>
      <c r="P159" s="34">
        <f t="shared" si="156"/>
        <v>0.14285714285714285</v>
      </c>
    </row>
    <row r="160" spans="1:16" ht="14.25" customHeight="1" x14ac:dyDescent="0.3">
      <c r="A160" s="4"/>
      <c r="B160" s="4"/>
      <c r="C160" s="4" t="s">
        <v>406</v>
      </c>
      <c r="D160" s="6" t="s">
        <v>322</v>
      </c>
      <c r="E160" s="6" t="s">
        <v>39</v>
      </c>
      <c r="F160" s="102">
        <v>0.14285714285714285</v>
      </c>
      <c r="G160" s="4"/>
      <c r="H160" s="34">
        <f t="shared" si="144"/>
        <v>0.14285714285714285</v>
      </c>
      <c r="I160" s="34">
        <f t="shared" ref="I160:P160" si="157">+H160</f>
        <v>0.14285714285714285</v>
      </c>
      <c r="J160" s="34">
        <f t="shared" si="157"/>
        <v>0.14285714285714285</v>
      </c>
      <c r="K160" s="34">
        <f t="shared" si="157"/>
        <v>0.14285714285714285</v>
      </c>
      <c r="L160" s="34">
        <f t="shared" si="157"/>
        <v>0.14285714285714285</v>
      </c>
      <c r="M160" s="34">
        <f t="shared" si="157"/>
        <v>0.14285714285714285</v>
      </c>
      <c r="N160" s="34">
        <f t="shared" si="157"/>
        <v>0.14285714285714285</v>
      </c>
      <c r="O160" s="34">
        <f t="shared" si="157"/>
        <v>0.14285714285714285</v>
      </c>
      <c r="P160" s="34">
        <f t="shared" si="157"/>
        <v>0.14285714285714285</v>
      </c>
    </row>
    <row r="161" spans="1:16" ht="14.25" customHeight="1" x14ac:dyDescent="0.3">
      <c r="A161" s="4"/>
      <c r="B161" s="4"/>
      <c r="C161" s="4" t="s">
        <v>407</v>
      </c>
      <c r="D161" s="6" t="s">
        <v>322</v>
      </c>
      <c r="E161" s="6" t="s">
        <v>39</v>
      </c>
      <c r="F161" s="102">
        <v>0.33333333333333331</v>
      </c>
      <c r="G161" s="4"/>
      <c r="H161" s="34">
        <f t="shared" si="144"/>
        <v>0.33333333333333331</v>
      </c>
      <c r="I161" s="34">
        <f t="shared" ref="I161:P161" si="158">+H161</f>
        <v>0.33333333333333331</v>
      </c>
      <c r="J161" s="34">
        <f t="shared" si="158"/>
        <v>0.33333333333333331</v>
      </c>
      <c r="K161" s="34">
        <f t="shared" si="158"/>
        <v>0.33333333333333331</v>
      </c>
      <c r="L161" s="34">
        <f t="shared" si="158"/>
        <v>0.33333333333333331</v>
      </c>
      <c r="M161" s="34">
        <f t="shared" si="158"/>
        <v>0.33333333333333331</v>
      </c>
      <c r="N161" s="34">
        <f t="shared" si="158"/>
        <v>0.33333333333333331</v>
      </c>
      <c r="O161" s="34">
        <f t="shared" si="158"/>
        <v>0.33333333333333331</v>
      </c>
      <c r="P161" s="34">
        <f t="shared" si="158"/>
        <v>0.33333333333333331</v>
      </c>
    </row>
    <row r="162" spans="1:16" ht="14.25" customHeight="1" x14ac:dyDescent="0.3">
      <c r="A162" s="4"/>
      <c r="B162" s="4"/>
      <c r="C162" s="4" t="s">
        <v>377</v>
      </c>
      <c r="D162" s="6" t="s">
        <v>322</v>
      </c>
      <c r="E162" s="6" t="s">
        <v>39</v>
      </c>
      <c r="F162" s="102">
        <v>0.1</v>
      </c>
      <c r="G162" s="4"/>
      <c r="H162" s="34">
        <f t="shared" ref="H162:H176" si="159">+F162</f>
        <v>0.1</v>
      </c>
      <c r="I162" s="34">
        <f t="shared" ref="I162:P162" si="160">+H162</f>
        <v>0.1</v>
      </c>
      <c r="J162" s="34">
        <f t="shared" si="160"/>
        <v>0.1</v>
      </c>
      <c r="K162" s="34">
        <f t="shared" si="160"/>
        <v>0.1</v>
      </c>
      <c r="L162" s="34">
        <f t="shared" si="160"/>
        <v>0.1</v>
      </c>
      <c r="M162" s="34">
        <f t="shared" si="160"/>
        <v>0.1</v>
      </c>
      <c r="N162" s="34">
        <f t="shared" si="160"/>
        <v>0.1</v>
      </c>
      <c r="O162" s="34">
        <f t="shared" si="160"/>
        <v>0.1</v>
      </c>
      <c r="P162" s="34">
        <f t="shared" si="160"/>
        <v>0.1</v>
      </c>
    </row>
    <row r="163" spans="1:16" ht="14.25" customHeight="1" x14ac:dyDescent="0.3">
      <c r="A163" s="4"/>
      <c r="B163" s="4"/>
      <c r="C163" s="4" t="s">
        <v>326</v>
      </c>
      <c r="D163" s="6" t="s">
        <v>322</v>
      </c>
      <c r="E163" s="6" t="s">
        <v>39</v>
      </c>
      <c r="F163" s="102">
        <v>0.14285714285714285</v>
      </c>
      <c r="G163" s="4"/>
      <c r="H163" s="34">
        <f t="shared" si="159"/>
        <v>0.14285714285714285</v>
      </c>
      <c r="I163" s="34">
        <f t="shared" ref="I163:P163" si="161">+H163</f>
        <v>0.14285714285714285</v>
      </c>
      <c r="J163" s="34">
        <f t="shared" si="161"/>
        <v>0.14285714285714285</v>
      </c>
      <c r="K163" s="34">
        <f t="shared" si="161"/>
        <v>0.14285714285714285</v>
      </c>
      <c r="L163" s="34">
        <f t="shared" si="161"/>
        <v>0.14285714285714285</v>
      </c>
      <c r="M163" s="34">
        <f t="shared" si="161"/>
        <v>0.14285714285714285</v>
      </c>
      <c r="N163" s="34">
        <f t="shared" si="161"/>
        <v>0.14285714285714285</v>
      </c>
      <c r="O163" s="34">
        <f t="shared" si="161"/>
        <v>0.14285714285714285</v>
      </c>
      <c r="P163" s="34">
        <f t="shared" si="161"/>
        <v>0.14285714285714285</v>
      </c>
    </row>
    <row r="164" spans="1:16" ht="14.25" customHeight="1" x14ac:dyDescent="0.3">
      <c r="A164" s="4"/>
      <c r="B164" s="4"/>
      <c r="C164" s="4" t="s">
        <v>451</v>
      </c>
      <c r="D164" s="6" t="s">
        <v>322</v>
      </c>
      <c r="E164" s="6" t="s">
        <v>39</v>
      </c>
      <c r="F164" s="102">
        <v>0.14285714285714285</v>
      </c>
      <c r="G164" s="4"/>
      <c r="H164" s="34">
        <f t="shared" si="159"/>
        <v>0.14285714285714285</v>
      </c>
      <c r="I164" s="34">
        <f t="shared" ref="I164:P164" si="162">+H164</f>
        <v>0.14285714285714285</v>
      </c>
      <c r="J164" s="34">
        <f t="shared" si="162"/>
        <v>0.14285714285714285</v>
      </c>
      <c r="K164" s="34">
        <f t="shared" si="162"/>
        <v>0.14285714285714285</v>
      </c>
      <c r="L164" s="34">
        <f t="shared" si="162"/>
        <v>0.14285714285714285</v>
      </c>
      <c r="M164" s="34">
        <f t="shared" si="162"/>
        <v>0.14285714285714285</v>
      </c>
      <c r="N164" s="34">
        <f t="shared" si="162"/>
        <v>0.14285714285714285</v>
      </c>
      <c r="O164" s="34">
        <f t="shared" si="162"/>
        <v>0.14285714285714285</v>
      </c>
      <c r="P164" s="34">
        <f t="shared" si="162"/>
        <v>0.14285714285714285</v>
      </c>
    </row>
    <row r="165" spans="1:16" ht="14.25" customHeight="1" x14ac:dyDescent="0.3">
      <c r="A165" s="4"/>
      <c r="B165" s="4"/>
      <c r="C165" s="4" t="s">
        <v>452</v>
      </c>
      <c r="D165" s="6" t="s">
        <v>322</v>
      </c>
      <c r="E165" s="6" t="s">
        <v>39</v>
      </c>
      <c r="F165" s="102">
        <v>0.14285714285714285</v>
      </c>
      <c r="G165" s="4"/>
      <c r="H165" s="34">
        <f t="shared" si="159"/>
        <v>0.14285714285714285</v>
      </c>
      <c r="I165" s="34">
        <f t="shared" ref="I165:P165" si="163">+H165</f>
        <v>0.14285714285714285</v>
      </c>
      <c r="J165" s="34">
        <f t="shared" si="163"/>
        <v>0.14285714285714285</v>
      </c>
      <c r="K165" s="34">
        <f t="shared" si="163"/>
        <v>0.14285714285714285</v>
      </c>
      <c r="L165" s="34">
        <f t="shared" si="163"/>
        <v>0.14285714285714285</v>
      </c>
      <c r="M165" s="34">
        <f t="shared" si="163"/>
        <v>0.14285714285714285</v>
      </c>
      <c r="N165" s="34">
        <f t="shared" si="163"/>
        <v>0.14285714285714285</v>
      </c>
      <c r="O165" s="34">
        <f t="shared" si="163"/>
        <v>0.14285714285714285</v>
      </c>
      <c r="P165" s="34">
        <f t="shared" si="163"/>
        <v>0.14285714285714285</v>
      </c>
    </row>
    <row r="166" spans="1:16" ht="14.25" customHeight="1" x14ac:dyDescent="0.3">
      <c r="A166" s="4"/>
      <c r="B166" s="4"/>
      <c r="C166" s="4" t="s">
        <v>402</v>
      </c>
      <c r="D166" s="6" t="s">
        <v>322</v>
      </c>
      <c r="E166" s="6" t="s">
        <v>39</v>
      </c>
      <c r="F166" s="102">
        <v>0.14285714285714285</v>
      </c>
      <c r="G166" s="4"/>
      <c r="H166" s="34">
        <f t="shared" si="159"/>
        <v>0.14285714285714285</v>
      </c>
      <c r="I166" s="34">
        <f t="shared" ref="I166:P166" si="164">+H166</f>
        <v>0.14285714285714285</v>
      </c>
      <c r="J166" s="34">
        <f t="shared" si="164"/>
        <v>0.14285714285714285</v>
      </c>
      <c r="K166" s="34">
        <f t="shared" si="164"/>
        <v>0.14285714285714285</v>
      </c>
      <c r="L166" s="34">
        <f t="shared" si="164"/>
        <v>0.14285714285714285</v>
      </c>
      <c r="M166" s="34">
        <f t="shared" si="164"/>
        <v>0.14285714285714285</v>
      </c>
      <c r="N166" s="34">
        <f t="shared" si="164"/>
        <v>0.14285714285714285</v>
      </c>
      <c r="O166" s="34">
        <f t="shared" si="164"/>
        <v>0.14285714285714285</v>
      </c>
      <c r="P166" s="34">
        <f t="shared" si="164"/>
        <v>0.14285714285714285</v>
      </c>
    </row>
    <row r="167" spans="1:16" ht="14.25" customHeight="1" x14ac:dyDescent="0.3">
      <c r="A167" s="4"/>
      <c r="B167" s="4"/>
      <c r="C167" s="4" t="s">
        <v>453</v>
      </c>
      <c r="D167" s="6" t="s">
        <v>322</v>
      </c>
      <c r="E167" s="6" t="s">
        <v>39</v>
      </c>
      <c r="F167" s="102">
        <v>0.14285714285714285</v>
      </c>
      <c r="G167" s="4"/>
      <c r="H167" s="34">
        <f t="shared" si="159"/>
        <v>0.14285714285714285</v>
      </c>
      <c r="I167" s="34">
        <f t="shared" ref="I167:P167" si="165">+H167</f>
        <v>0.14285714285714285</v>
      </c>
      <c r="J167" s="34">
        <f t="shared" si="165"/>
        <v>0.14285714285714285</v>
      </c>
      <c r="K167" s="34">
        <f t="shared" si="165"/>
        <v>0.14285714285714285</v>
      </c>
      <c r="L167" s="34">
        <f t="shared" si="165"/>
        <v>0.14285714285714285</v>
      </c>
      <c r="M167" s="34">
        <f t="shared" si="165"/>
        <v>0.14285714285714285</v>
      </c>
      <c r="N167" s="34">
        <f t="shared" si="165"/>
        <v>0.14285714285714285</v>
      </c>
      <c r="O167" s="34">
        <f t="shared" si="165"/>
        <v>0.14285714285714285</v>
      </c>
      <c r="P167" s="34">
        <f t="shared" si="165"/>
        <v>0.14285714285714285</v>
      </c>
    </row>
    <row r="168" spans="1:16" ht="14.25" customHeight="1" x14ac:dyDescent="0.3">
      <c r="A168" s="4"/>
      <c r="B168" s="4"/>
      <c r="C168" s="4" t="s">
        <v>454</v>
      </c>
      <c r="D168" s="6" t="s">
        <v>322</v>
      </c>
      <c r="E168" s="6" t="s">
        <v>39</v>
      </c>
      <c r="F168" s="102">
        <v>0.2</v>
      </c>
      <c r="G168" s="4"/>
      <c r="H168" s="34">
        <f t="shared" si="159"/>
        <v>0.2</v>
      </c>
      <c r="I168" s="34">
        <f t="shared" ref="I168:P168" si="166">+H168</f>
        <v>0.2</v>
      </c>
      <c r="J168" s="34">
        <f t="shared" si="166"/>
        <v>0.2</v>
      </c>
      <c r="K168" s="34">
        <f t="shared" si="166"/>
        <v>0.2</v>
      </c>
      <c r="L168" s="34">
        <f t="shared" si="166"/>
        <v>0.2</v>
      </c>
      <c r="M168" s="34">
        <f t="shared" si="166"/>
        <v>0.2</v>
      </c>
      <c r="N168" s="34">
        <f t="shared" si="166"/>
        <v>0.2</v>
      </c>
      <c r="O168" s="34">
        <f t="shared" si="166"/>
        <v>0.2</v>
      </c>
      <c r="P168" s="34">
        <f t="shared" si="166"/>
        <v>0.2</v>
      </c>
    </row>
    <row r="169" spans="1:16" ht="14.25" customHeight="1" x14ac:dyDescent="0.3">
      <c r="A169" s="4"/>
      <c r="B169" s="4"/>
      <c r="C169" s="4" t="s">
        <v>455</v>
      </c>
      <c r="D169" s="6" t="s">
        <v>322</v>
      </c>
      <c r="E169" s="6" t="s">
        <v>39</v>
      </c>
      <c r="F169" s="102">
        <v>0.25</v>
      </c>
      <c r="G169" s="4"/>
      <c r="H169" s="34">
        <f t="shared" si="159"/>
        <v>0.25</v>
      </c>
      <c r="I169" s="34">
        <f t="shared" ref="I169:P169" si="167">+H169</f>
        <v>0.25</v>
      </c>
      <c r="J169" s="34">
        <f t="shared" si="167"/>
        <v>0.25</v>
      </c>
      <c r="K169" s="34">
        <f t="shared" si="167"/>
        <v>0.25</v>
      </c>
      <c r="L169" s="34">
        <f t="shared" si="167"/>
        <v>0.25</v>
      </c>
      <c r="M169" s="34">
        <f t="shared" si="167"/>
        <v>0.25</v>
      </c>
      <c r="N169" s="34">
        <f t="shared" si="167"/>
        <v>0.25</v>
      </c>
      <c r="O169" s="34">
        <f t="shared" si="167"/>
        <v>0.25</v>
      </c>
      <c r="P169" s="34">
        <f t="shared" si="167"/>
        <v>0.25</v>
      </c>
    </row>
    <row r="170" spans="1:16" ht="14.25" customHeight="1" x14ac:dyDescent="0.3">
      <c r="A170" s="4"/>
      <c r="B170" s="4"/>
      <c r="C170" s="4" t="s">
        <v>456</v>
      </c>
      <c r="D170" s="6" t="s">
        <v>322</v>
      </c>
      <c r="E170" s="6" t="s">
        <v>39</v>
      </c>
      <c r="F170" s="102">
        <v>6.6666666666666666E-2</v>
      </c>
      <c r="G170" s="4"/>
      <c r="H170" s="34">
        <f t="shared" si="159"/>
        <v>6.6666666666666666E-2</v>
      </c>
      <c r="I170" s="34">
        <f t="shared" ref="I170:P170" si="168">+H170</f>
        <v>6.6666666666666666E-2</v>
      </c>
      <c r="J170" s="34">
        <f t="shared" si="168"/>
        <v>6.6666666666666666E-2</v>
      </c>
      <c r="K170" s="34">
        <f t="shared" si="168"/>
        <v>6.6666666666666666E-2</v>
      </c>
      <c r="L170" s="34">
        <f t="shared" si="168"/>
        <v>6.6666666666666666E-2</v>
      </c>
      <c r="M170" s="34">
        <f t="shared" si="168"/>
        <v>6.6666666666666666E-2</v>
      </c>
      <c r="N170" s="34">
        <f t="shared" si="168"/>
        <v>6.6666666666666666E-2</v>
      </c>
      <c r="O170" s="34">
        <f t="shared" si="168"/>
        <v>6.6666666666666666E-2</v>
      </c>
      <c r="P170" s="34">
        <f t="shared" si="168"/>
        <v>6.6666666666666666E-2</v>
      </c>
    </row>
    <row r="171" spans="1:16" ht="14.25" customHeight="1" x14ac:dyDescent="0.3">
      <c r="A171" s="4"/>
      <c r="B171" s="4"/>
      <c r="C171" s="4" t="s">
        <v>457</v>
      </c>
      <c r="D171" s="6" t="s">
        <v>322</v>
      </c>
      <c r="E171" s="6" t="s">
        <v>39</v>
      </c>
      <c r="F171" s="102">
        <v>0.1</v>
      </c>
      <c r="G171" s="4"/>
      <c r="H171" s="34">
        <f t="shared" si="159"/>
        <v>0.1</v>
      </c>
      <c r="I171" s="34">
        <f t="shared" ref="I171:P171" si="169">+H171</f>
        <v>0.1</v>
      </c>
      <c r="J171" s="34">
        <f t="shared" si="169"/>
        <v>0.1</v>
      </c>
      <c r="K171" s="34">
        <f t="shared" si="169"/>
        <v>0.1</v>
      </c>
      <c r="L171" s="34">
        <f t="shared" si="169"/>
        <v>0.1</v>
      </c>
      <c r="M171" s="34">
        <f t="shared" si="169"/>
        <v>0.1</v>
      </c>
      <c r="N171" s="34">
        <f t="shared" si="169"/>
        <v>0.1</v>
      </c>
      <c r="O171" s="34">
        <f t="shared" si="169"/>
        <v>0.1</v>
      </c>
      <c r="P171" s="34">
        <f t="shared" si="169"/>
        <v>0.1</v>
      </c>
    </row>
    <row r="172" spans="1:16" ht="14.25" customHeight="1" x14ac:dyDescent="0.3">
      <c r="A172" s="4"/>
      <c r="B172" s="4"/>
      <c r="C172" s="4" t="s">
        <v>458</v>
      </c>
      <c r="D172" s="6" t="s">
        <v>322</v>
      </c>
      <c r="E172" s="6" t="s">
        <v>39</v>
      </c>
      <c r="F172" s="102">
        <v>0.14285714285714285</v>
      </c>
      <c r="G172" s="4"/>
      <c r="H172" s="34">
        <f t="shared" si="159"/>
        <v>0.14285714285714285</v>
      </c>
      <c r="I172" s="34">
        <f t="shared" ref="I172:P172" si="170">+H172</f>
        <v>0.14285714285714285</v>
      </c>
      <c r="J172" s="34">
        <f t="shared" si="170"/>
        <v>0.14285714285714285</v>
      </c>
      <c r="K172" s="34">
        <f t="shared" si="170"/>
        <v>0.14285714285714285</v>
      </c>
      <c r="L172" s="34">
        <f t="shared" si="170"/>
        <v>0.14285714285714285</v>
      </c>
      <c r="M172" s="34">
        <f t="shared" si="170"/>
        <v>0.14285714285714285</v>
      </c>
      <c r="N172" s="34">
        <f t="shared" si="170"/>
        <v>0.14285714285714285</v>
      </c>
      <c r="O172" s="34">
        <f t="shared" si="170"/>
        <v>0.14285714285714285</v>
      </c>
      <c r="P172" s="34">
        <f t="shared" si="170"/>
        <v>0.14285714285714285</v>
      </c>
    </row>
    <row r="173" spans="1:16" ht="14.25" customHeight="1" x14ac:dyDescent="0.3">
      <c r="A173" s="4"/>
      <c r="B173" s="4"/>
      <c r="C173" s="4" t="s">
        <v>459</v>
      </c>
      <c r="D173" s="6" t="s">
        <v>322</v>
      </c>
      <c r="E173" s="6" t="s">
        <v>39</v>
      </c>
      <c r="F173" s="102">
        <v>0.1</v>
      </c>
      <c r="G173" s="4"/>
      <c r="H173" s="34">
        <f t="shared" si="159"/>
        <v>0.1</v>
      </c>
      <c r="I173" s="34">
        <f t="shared" ref="I173:P173" si="171">+H173</f>
        <v>0.1</v>
      </c>
      <c r="J173" s="34">
        <f t="shared" si="171"/>
        <v>0.1</v>
      </c>
      <c r="K173" s="34">
        <f t="shared" si="171"/>
        <v>0.1</v>
      </c>
      <c r="L173" s="34">
        <f t="shared" si="171"/>
        <v>0.1</v>
      </c>
      <c r="M173" s="34">
        <f t="shared" si="171"/>
        <v>0.1</v>
      </c>
      <c r="N173" s="34">
        <f t="shared" si="171"/>
        <v>0.1</v>
      </c>
      <c r="O173" s="34">
        <f t="shared" si="171"/>
        <v>0.1</v>
      </c>
      <c r="P173" s="34">
        <f t="shared" si="171"/>
        <v>0.1</v>
      </c>
    </row>
    <row r="174" spans="1:16" ht="14.25" customHeight="1" x14ac:dyDescent="0.3">
      <c r="A174" s="4"/>
      <c r="B174" s="4"/>
      <c r="C174" s="4" t="s">
        <v>460</v>
      </c>
      <c r="D174" s="6" t="s">
        <v>322</v>
      </c>
      <c r="E174" s="6" t="s">
        <v>39</v>
      </c>
      <c r="F174" s="102">
        <v>0.14285714285714285</v>
      </c>
      <c r="G174" s="4"/>
      <c r="H174" s="34">
        <f t="shared" si="159"/>
        <v>0.14285714285714285</v>
      </c>
      <c r="I174" s="34">
        <f t="shared" ref="I174:P174" si="172">+H174</f>
        <v>0.14285714285714285</v>
      </c>
      <c r="J174" s="34">
        <f t="shared" si="172"/>
        <v>0.14285714285714285</v>
      </c>
      <c r="K174" s="34">
        <f t="shared" si="172"/>
        <v>0.14285714285714285</v>
      </c>
      <c r="L174" s="34">
        <f t="shared" si="172"/>
        <v>0.14285714285714285</v>
      </c>
      <c r="M174" s="34">
        <f t="shared" si="172"/>
        <v>0.14285714285714285</v>
      </c>
      <c r="N174" s="34">
        <f t="shared" si="172"/>
        <v>0.14285714285714285</v>
      </c>
      <c r="O174" s="34">
        <f t="shared" si="172"/>
        <v>0.14285714285714285</v>
      </c>
      <c r="P174" s="34">
        <f t="shared" si="172"/>
        <v>0.14285714285714285</v>
      </c>
    </row>
    <row r="175" spans="1:16" ht="14.25" customHeight="1" x14ac:dyDescent="0.3">
      <c r="A175" s="4"/>
      <c r="B175" s="4"/>
      <c r="C175" s="4" t="s">
        <v>461</v>
      </c>
      <c r="D175" s="6" t="s">
        <v>322</v>
      </c>
      <c r="E175" s="6" t="s">
        <v>39</v>
      </c>
      <c r="F175" s="102">
        <v>0.14285714285714285</v>
      </c>
      <c r="G175" s="4"/>
      <c r="H175" s="34">
        <f t="shared" si="159"/>
        <v>0.14285714285714285</v>
      </c>
      <c r="I175" s="34">
        <f t="shared" ref="I175:P175" si="173">+H175</f>
        <v>0.14285714285714285</v>
      </c>
      <c r="J175" s="34">
        <f t="shared" si="173"/>
        <v>0.14285714285714285</v>
      </c>
      <c r="K175" s="34">
        <f t="shared" si="173"/>
        <v>0.14285714285714285</v>
      </c>
      <c r="L175" s="34">
        <f t="shared" si="173"/>
        <v>0.14285714285714285</v>
      </c>
      <c r="M175" s="34">
        <f t="shared" si="173"/>
        <v>0.14285714285714285</v>
      </c>
      <c r="N175" s="34">
        <f t="shared" si="173"/>
        <v>0.14285714285714285</v>
      </c>
      <c r="O175" s="34">
        <f t="shared" si="173"/>
        <v>0.14285714285714285</v>
      </c>
      <c r="P175" s="34">
        <f t="shared" si="173"/>
        <v>0.14285714285714285</v>
      </c>
    </row>
    <row r="176" spans="1:16" ht="14.25" customHeight="1" x14ac:dyDescent="0.3">
      <c r="A176" s="4"/>
      <c r="B176" s="4"/>
      <c r="C176" s="4" t="s">
        <v>462</v>
      </c>
      <c r="D176" s="6" t="s">
        <v>322</v>
      </c>
      <c r="E176" s="6" t="s">
        <v>39</v>
      </c>
      <c r="F176" s="102">
        <v>0.33333333333333331</v>
      </c>
      <c r="G176" s="33"/>
      <c r="H176" s="34">
        <f t="shared" si="159"/>
        <v>0.33333333333333331</v>
      </c>
      <c r="I176" s="34">
        <f t="shared" ref="I176:P176" si="174">+H176</f>
        <v>0.33333333333333331</v>
      </c>
      <c r="J176" s="34">
        <f t="shared" si="174"/>
        <v>0.33333333333333331</v>
      </c>
      <c r="K176" s="34">
        <f t="shared" si="174"/>
        <v>0.33333333333333331</v>
      </c>
      <c r="L176" s="34">
        <f t="shared" si="174"/>
        <v>0.33333333333333331</v>
      </c>
      <c r="M176" s="34">
        <f t="shared" si="174"/>
        <v>0.33333333333333331</v>
      </c>
      <c r="N176" s="34">
        <f t="shared" si="174"/>
        <v>0.33333333333333331</v>
      </c>
      <c r="O176" s="34">
        <f t="shared" si="174"/>
        <v>0.33333333333333331</v>
      </c>
      <c r="P176" s="34">
        <f t="shared" si="174"/>
        <v>0.33333333333333331</v>
      </c>
    </row>
    <row r="177" spans="1:16" ht="14.25" customHeight="1" collapsed="1" x14ac:dyDescent="0.3">
      <c r="A177" s="4"/>
      <c r="B177" s="4"/>
      <c r="C177" s="4"/>
      <c r="D177" s="6"/>
      <c r="E177" s="6"/>
      <c r="F177" s="102"/>
      <c r="G177" s="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ht="14.25" customHeight="1" x14ac:dyDescent="0.3">
      <c r="B178" s="3" t="s">
        <v>136</v>
      </c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3">
      <c r="B179" s="4"/>
      <c r="C179" s="4"/>
      <c r="D179" s="4"/>
      <c r="E179" s="4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4.25" customHeight="1" x14ac:dyDescent="0.3">
      <c r="B180" s="7" t="s">
        <v>472</v>
      </c>
      <c r="C180" s="4"/>
      <c r="D180" s="4"/>
      <c r="E180" s="4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4.25" customHeight="1" x14ac:dyDescent="0.3">
      <c r="B181" s="4"/>
      <c r="C181" s="4" t="s">
        <v>231</v>
      </c>
      <c r="D181" s="6" t="s">
        <v>41</v>
      </c>
      <c r="E181" s="6" t="s">
        <v>39</v>
      </c>
      <c r="F181" s="80" t="s">
        <v>40</v>
      </c>
      <c r="G181" s="79">
        <f>(+INDEX('Macro anual'!$I$19:$I$29,MATCH(G$1,'Macro anual'!$B$19:$B$29,0)))</f>
        <v>94.840909952219349</v>
      </c>
      <c r="H181" s="79">
        <f>(+INDEX('Macro anual'!$I$19:$I$29,MATCH(H$1,'Macro anual'!$B$19:$B$29,0)))</f>
        <v>100</v>
      </c>
      <c r="I181" s="79">
        <f>(+INDEX('Macro anual'!$I$19:$I$29,MATCH(I$1,'Macro anual'!$B$19:$B$29,0)))</f>
        <v>103.0428359489749</v>
      </c>
      <c r="J181" s="79">
        <f>(+INDEX('Macro anual'!$I$19:$I$29,MATCH(J$1,'Macro anual'!$B$19:$B$29,0)))</f>
        <v>101.00380156352711</v>
      </c>
      <c r="K181" s="79">
        <f>(+INDEX('Macro anual'!$I$19:$I$29,MATCH(K$1,'Macro anual'!$B$19:$B$29,0)))</f>
        <v>97.874052716763998</v>
      </c>
      <c r="L181" s="79">
        <f>(+INDEX('Macro anual'!$I$19:$I$29,MATCH(L$1,'Macro anual'!$B$19:$B$29,0)))</f>
        <v>90.534662738531736</v>
      </c>
      <c r="M181" s="79">
        <f>(+INDEX('Macro anual'!$I$19:$I$29,MATCH(M$1,'Macro anual'!$B$19:$B$29,0)))</f>
        <v>88.061011517525486</v>
      </c>
      <c r="N181" s="79">
        <f>(+INDEX('Macro anual'!$I$19:$I$29,MATCH(N$1,'Macro anual'!$B$19:$B$29,0)))</f>
        <v>92.959124506900366</v>
      </c>
      <c r="O181" s="79">
        <f>(+INDEX('Macro anual'!$I$19:$I$29,MATCH(O$1,'Macro anual'!$B$19:$B$29,0)))</f>
        <v>95.74558938479187</v>
      </c>
      <c r="P181" s="79">
        <f>(+INDEX('Macro anual'!$I$19:$I$29,MATCH(P$1,'Macro anual'!$B$19:$B$29,0)))</f>
        <v>94.845294524796458</v>
      </c>
    </row>
    <row r="182" spans="1:16" ht="14.25" customHeight="1" x14ac:dyDescent="0.3">
      <c r="B182" s="4"/>
      <c r="C182" s="4"/>
      <c r="D182" s="6"/>
      <c r="E182" s="6"/>
      <c r="F182" s="80"/>
      <c r="G182" s="79"/>
      <c r="H182" s="79"/>
      <c r="I182" s="79"/>
      <c r="J182" s="79"/>
      <c r="K182" s="79"/>
      <c r="L182" s="79"/>
      <c r="M182" s="79"/>
      <c r="N182" s="79"/>
      <c r="O182" s="79"/>
      <c r="P182" s="79"/>
    </row>
    <row r="183" spans="1:16" ht="14.25" customHeight="1" x14ac:dyDescent="0.3">
      <c r="B183" s="7" t="s">
        <v>473</v>
      </c>
      <c r="C183" s="4"/>
      <c r="D183" s="6"/>
      <c r="E183" s="6"/>
      <c r="F183" s="80"/>
      <c r="G183" s="79"/>
      <c r="H183" s="79"/>
      <c r="I183" s="79"/>
      <c r="J183" s="79"/>
      <c r="K183" s="79"/>
      <c r="L183" s="79"/>
      <c r="M183" s="79"/>
      <c r="N183" s="79"/>
      <c r="O183" s="79"/>
      <c r="P183" s="79"/>
    </row>
    <row r="184" spans="1:16" ht="14.25" customHeight="1" x14ac:dyDescent="0.3">
      <c r="B184" s="4"/>
      <c r="C184" s="4" t="s">
        <v>230</v>
      </c>
      <c r="D184" s="6" t="s">
        <v>41</v>
      </c>
      <c r="E184" s="6" t="s">
        <v>39</v>
      </c>
      <c r="F184" s="80" t="s">
        <v>40</v>
      </c>
      <c r="G184" s="79">
        <f>(+INDEX('Macro anual'!$H$19:$H$29,MATCH(G$1,'Macro anual'!$B$19:$B$29,0)))</f>
        <v>97.943613945563001</v>
      </c>
      <c r="H184" s="79">
        <f>(+INDEX('Macro anual'!$H$19:$H$29,MATCH(H$1,'Macro anual'!$B$19:$B$29,0)))</f>
        <v>100</v>
      </c>
      <c r="I184" s="79">
        <f>(+INDEX('Macro anual'!$H$19:$H$29,MATCH(I$1,'Macro anual'!$B$19:$B$29,0)))</f>
        <v>103.24146598977163</v>
      </c>
      <c r="J184" s="79">
        <f>(+INDEX('Macro anual'!$H$19:$H$29,MATCH(J$1,'Macro anual'!$B$19:$B$29,0)))</f>
        <v>102.97174693018994</v>
      </c>
      <c r="K184" s="79">
        <f>(+INDEX('Macro anual'!$H$19:$H$29,MATCH(K$1,'Macro anual'!$B$19:$B$29,0)))</f>
        <v>102.42837497750099</v>
      </c>
      <c r="L184" s="79">
        <f>(+INDEX('Macro anual'!$H$19:$H$29,MATCH(L$1,'Macro anual'!$B$19:$B$29,0)))</f>
        <v>99.005093403797019</v>
      </c>
      <c r="M184" s="79">
        <f>(+INDEX('Macro anual'!$H$19:$H$29,MATCH(M$1,'Macro anual'!$B$19:$B$29,0)))</f>
        <v>97.717286030531596</v>
      </c>
      <c r="N184" s="79">
        <f>(+INDEX('Macro anual'!$H$19:$H$29,MATCH(N$1,'Macro anual'!$B$19:$B$29,0)))</f>
        <v>98.760070003494945</v>
      </c>
      <c r="O184" s="79">
        <f>(+INDEX('Macro anual'!$H$19:$H$29,MATCH(O$1,'Macro anual'!$B$19:$B$29,0)))</f>
        <v>98.488805227819526</v>
      </c>
      <c r="P184" s="79">
        <f>(+INDEX('Macro anual'!$H$19:$H$29,MATCH(P$1,'Macro anual'!$B$19:$B$29,0)))</f>
        <v>98.51529731309563</v>
      </c>
    </row>
    <row r="185" spans="1:16" ht="14.25" customHeight="1" x14ac:dyDescent="0.3"/>
    <row r="186" spans="1:16" ht="14.25" customHeight="1" x14ac:dyDescent="0.3">
      <c r="B186" s="3" t="s">
        <v>145</v>
      </c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3">
      <c r="H187" s="272"/>
      <c r="I187" s="272"/>
      <c r="J187" s="272"/>
      <c r="K187" s="272"/>
      <c r="L187" s="272"/>
      <c r="M187" s="272"/>
      <c r="N187" s="272"/>
      <c r="O187" s="272"/>
      <c r="P187" s="272"/>
    </row>
    <row r="188" spans="1:16" ht="14.25" customHeight="1" x14ac:dyDescent="0.3">
      <c r="B188" s="7" t="str">
        <f>+B11</f>
        <v>Stock inicial</v>
      </c>
      <c r="H188" s="273"/>
      <c r="I188" s="273"/>
      <c r="J188" s="273"/>
      <c r="K188" s="273"/>
      <c r="L188" s="273"/>
      <c r="M188" s="273"/>
      <c r="N188" s="273"/>
      <c r="O188" s="273"/>
      <c r="P188" s="273"/>
    </row>
    <row r="189" spans="1:16" ht="14.25" customHeight="1" x14ac:dyDescent="0.3">
      <c r="C189" s="4" t="str">
        <f>+C12</f>
        <v>Infraestructura y obras</v>
      </c>
      <c r="D189" s="6" t="s">
        <v>41</v>
      </c>
      <c r="E189" s="6" t="s">
        <v>17</v>
      </c>
      <c r="F189" s="79">
        <f t="shared" ref="F189:F190" si="175">+AVERAGEIF(H189:P189,no_cero)</f>
        <v>17.784274562649916</v>
      </c>
      <c r="G189" s="4"/>
      <c r="H189" s="79">
        <f t="shared" ref="H189:P189" si="176">+(H$7*G$181+H12*H$181-(H$181-G$181))/(1-IR)</f>
        <v>10.807213975870374</v>
      </c>
      <c r="I189" s="79">
        <f t="shared" si="176"/>
        <v>13.929543788033026</v>
      </c>
      <c r="J189" s="79">
        <f t="shared" si="176"/>
        <v>22.481094821525922</v>
      </c>
      <c r="K189" s="79">
        <f t="shared" si="176"/>
        <v>23.305404514937663</v>
      </c>
      <c r="L189" s="79">
        <f t="shared" si="176"/>
        <v>28.146101480014622</v>
      </c>
      <c r="M189" s="79">
        <f t="shared" si="176"/>
        <v>19.975683883067603</v>
      </c>
      <c r="N189" s="79">
        <f t="shared" si="176"/>
        <v>9.3530209049296538</v>
      </c>
      <c r="O189" s="79">
        <f t="shared" si="176"/>
        <v>13.245998839269678</v>
      </c>
      <c r="P189" s="79">
        <f t="shared" si="176"/>
        <v>18.814408856200707</v>
      </c>
    </row>
    <row r="190" spans="1:16" ht="14.25" customHeight="1" x14ac:dyDescent="0.3">
      <c r="C190" s="4" t="str">
        <f>+C13</f>
        <v>Equipamiento</v>
      </c>
      <c r="D190" s="6" t="s">
        <v>41</v>
      </c>
      <c r="E190" s="6" t="s">
        <v>17</v>
      </c>
      <c r="F190" s="79">
        <f t="shared" si="175"/>
        <v>27.979562795534576</v>
      </c>
      <c r="G190" s="4"/>
      <c r="H190" s="79">
        <f t="shared" ref="H190:P190" si="177">+(H$7*G$184+H13*H$184-(H$184-G$184))/(1-IR)</f>
        <v>25.202341508885468</v>
      </c>
      <c r="I190" s="79">
        <f t="shared" si="177"/>
        <v>23.487765730720554</v>
      </c>
      <c r="J190" s="79">
        <f t="shared" si="177"/>
        <v>29.882495346076816</v>
      </c>
      <c r="K190" s="79">
        <f>+(K$7*J$184+K13*K$184-(K$184-J$184))/(1-IR)</f>
        <v>29.858694117465706</v>
      </c>
      <c r="L190" s="79">
        <f t="shared" si="177"/>
        <v>33.005283766691299</v>
      </c>
      <c r="M190" s="79">
        <f t="shared" si="177"/>
        <v>29.193824119778114</v>
      </c>
      <c r="N190" s="79">
        <f t="shared" si="177"/>
        <v>25.850076040783321</v>
      </c>
      <c r="O190" s="79">
        <f t="shared" si="177"/>
        <v>27.915182537578726</v>
      </c>
      <c r="P190" s="79">
        <f t="shared" si="177"/>
        <v>27.420401991831177</v>
      </c>
    </row>
    <row r="191" spans="1:16" ht="14.25" customHeight="1" collapsed="1" x14ac:dyDescent="0.3">
      <c r="B191" s="7"/>
    </row>
    <row r="192" spans="1:16" ht="14.25" customHeight="1" x14ac:dyDescent="0.3">
      <c r="B192" s="7" t="str">
        <f>+B15</f>
        <v>Activos fijos (infraestructura - IPMC)</v>
      </c>
      <c r="C192" s="4"/>
      <c r="D192" s="4"/>
      <c r="E192" s="4"/>
      <c r="F192" s="6"/>
      <c r="G192" s="4"/>
    </row>
    <row r="193" spans="2:16" ht="14.25" customHeight="1" x14ac:dyDescent="0.3">
      <c r="B193" s="4"/>
      <c r="C193" s="4" t="str">
        <f>+C16</f>
        <v>Pozo a tierra</v>
      </c>
      <c r="D193" s="6" t="s">
        <v>41</v>
      </c>
      <c r="E193" s="6" t="s">
        <v>17</v>
      </c>
      <c r="F193" s="79">
        <f t="shared" ref="F193" si="178">+AVERAGEIF(H193:P193,no_cero)</f>
        <v>32.805836601003413</v>
      </c>
      <c r="G193" s="4"/>
      <c r="H193" s="79">
        <f t="shared" ref="H193:P193" si="179">+(H$7*G$181+H16*H$181-(H$181-G$181))/(1-IR)</f>
        <v>26.453472479271731</v>
      </c>
      <c r="I193" s="79">
        <f t="shared" si="179"/>
        <v>30.051892269845421</v>
      </c>
      <c r="J193" s="79">
        <f t="shared" si="179"/>
        <v>38.284410712417916</v>
      </c>
      <c r="K193" s="79">
        <f t="shared" si="179"/>
        <v>38.619031810757882</v>
      </c>
      <c r="L193" s="79">
        <f t="shared" si="179"/>
        <v>42.311388847267885</v>
      </c>
      <c r="M193" s="79">
        <f t="shared" si="179"/>
        <v>33.753937385809678</v>
      </c>
      <c r="N193" s="79">
        <f t="shared" si="179"/>
        <v>23.897645827778007</v>
      </c>
      <c r="O193" s="79">
        <f t="shared" si="179"/>
        <v>28.226601260019425</v>
      </c>
      <c r="P193" s="79">
        <f t="shared" si="179"/>
        <v>33.654148815862733</v>
      </c>
    </row>
    <row r="194" spans="2:16" ht="14.25" customHeight="1" x14ac:dyDescent="0.3">
      <c r="B194" s="4"/>
      <c r="C194" s="4" t="str">
        <f t="shared" ref="C194:C257" si="180">+C17</f>
        <v>Pozo a tierra - Muelle 4</v>
      </c>
      <c r="D194" s="6" t="s">
        <v>41</v>
      </c>
      <c r="E194" s="6" t="s">
        <v>17</v>
      </c>
      <c r="F194" s="79">
        <f t="shared" ref="F194:F200" si="181">+AVERAGEIF(H194:P194,no_cero)</f>
        <v>17.784274562649916</v>
      </c>
      <c r="G194" s="4"/>
      <c r="H194" s="79">
        <f t="shared" ref="H194:P194" si="182">+(H$7*G$181+H17*H$181-(H$181-G$181))/(1-IR)</f>
        <v>10.807213975870374</v>
      </c>
      <c r="I194" s="79">
        <f t="shared" si="182"/>
        <v>13.929543788033026</v>
      </c>
      <c r="J194" s="79">
        <f t="shared" si="182"/>
        <v>22.481094821525922</v>
      </c>
      <c r="K194" s="79">
        <f t="shared" si="182"/>
        <v>23.305404514937663</v>
      </c>
      <c r="L194" s="79">
        <f t="shared" si="182"/>
        <v>28.146101480014622</v>
      </c>
      <c r="M194" s="79">
        <f t="shared" si="182"/>
        <v>19.975683883067603</v>
      </c>
      <c r="N194" s="79">
        <f t="shared" si="182"/>
        <v>9.3530209049296538</v>
      </c>
      <c r="O194" s="79">
        <f t="shared" si="182"/>
        <v>13.245998839269678</v>
      </c>
      <c r="P194" s="79">
        <f t="shared" si="182"/>
        <v>18.814408856200707</v>
      </c>
    </row>
    <row r="195" spans="2:16" ht="14.25" customHeight="1" x14ac:dyDescent="0.3">
      <c r="B195" s="4"/>
      <c r="C195" s="4" t="str">
        <f t="shared" si="180"/>
        <v>Dragado Muelle 7</v>
      </c>
      <c r="D195" s="6" t="s">
        <v>41</v>
      </c>
      <c r="E195" s="6" t="s">
        <v>17</v>
      </c>
      <c r="F195" s="79">
        <f t="shared" si="181"/>
        <v>18.115627845274243</v>
      </c>
      <c r="G195" s="4"/>
      <c r="H195" s="79">
        <f t="shared" ref="H195:P195" si="183">+(H$7*G$181+H18*H$181-(H$181-G$181))/(1-IR)</f>
        <v>11.152347131973169</v>
      </c>
      <c r="I195" s="79">
        <f t="shared" si="183"/>
        <v>14.285178779881546</v>
      </c>
      <c r="J195" s="79">
        <f t="shared" si="183"/>
        <v>22.829692429645924</v>
      </c>
      <c r="K195" s="79">
        <f t="shared" si="183"/>
        <v>23.643200322084745</v>
      </c>
      <c r="L195" s="79">
        <f t="shared" si="183"/>
        <v>28.458566618891137</v>
      </c>
      <c r="M195" s="79">
        <f t="shared" si="183"/>
        <v>20.279611631414085</v>
      </c>
      <c r="N195" s="79">
        <f t="shared" si="183"/>
        <v>9.6738536652258436</v>
      </c>
      <c r="O195" s="79">
        <f t="shared" si="183"/>
        <v>13.576448613742631</v>
      </c>
      <c r="P195" s="79">
        <f t="shared" si="183"/>
        <v>19.141751414609125</v>
      </c>
    </row>
    <row r="196" spans="2:16" ht="14.25" customHeight="1" x14ac:dyDescent="0.3">
      <c r="B196" s="4"/>
      <c r="C196" s="4" t="str">
        <f t="shared" si="180"/>
        <v>Labarthe</v>
      </c>
      <c r="D196" s="6" t="s">
        <v>41</v>
      </c>
      <c r="E196" s="6" t="s">
        <v>17</v>
      </c>
      <c r="F196" s="79">
        <f t="shared" si="181"/>
        <v>32.805836601003413</v>
      </c>
      <c r="G196" s="4"/>
      <c r="H196" s="79">
        <f t="shared" ref="H196:P196" si="184">+(H$7*G$181+H19*H$181-(H$181-G$181))/(1-IR)</f>
        <v>26.453472479271731</v>
      </c>
      <c r="I196" s="79">
        <f t="shared" si="184"/>
        <v>30.051892269845421</v>
      </c>
      <c r="J196" s="79">
        <f t="shared" si="184"/>
        <v>38.284410712417916</v>
      </c>
      <c r="K196" s="79">
        <f t="shared" si="184"/>
        <v>38.619031810757882</v>
      </c>
      <c r="L196" s="79">
        <f t="shared" si="184"/>
        <v>42.311388847267885</v>
      </c>
      <c r="M196" s="79">
        <f t="shared" si="184"/>
        <v>33.753937385809678</v>
      </c>
      <c r="N196" s="79">
        <f t="shared" si="184"/>
        <v>23.897645827778007</v>
      </c>
      <c r="O196" s="79">
        <f t="shared" si="184"/>
        <v>28.226601260019425</v>
      </c>
      <c r="P196" s="79">
        <f t="shared" si="184"/>
        <v>33.654148815862733</v>
      </c>
    </row>
    <row r="197" spans="2:16" ht="14.25" customHeight="1" x14ac:dyDescent="0.3">
      <c r="B197" s="4"/>
      <c r="C197" s="4" t="str">
        <f t="shared" si="180"/>
        <v>Instalación (ventanas, persianas, pisos, alfombras, baños y similares)</v>
      </c>
      <c r="D197" s="6" t="s">
        <v>41</v>
      </c>
      <c r="E197" s="6" t="s">
        <v>17</v>
      </c>
      <c r="F197" s="79">
        <f t="shared" si="181"/>
        <v>29.419342984488569</v>
      </c>
      <c r="G197" s="4"/>
      <c r="H197" s="79">
        <f t="shared" ref="H197:P197" si="185">+(H$7*G$181+H20*H$181-(H$181-G$181))/(1-IR)</f>
        <v>22.92614593301613</v>
      </c>
      <c r="I197" s="79">
        <f t="shared" si="185"/>
        <v>26.41723496340262</v>
      </c>
      <c r="J197" s="79">
        <f t="shared" si="185"/>
        <v>34.721676807140291</v>
      </c>
      <c r="K197" s="79">
        <f t="shared" si="185"/>
        <v>35.166694367383258</v>
      </c>
      <c r="L197" s="79">
        <f t="shared" si="185"/>
        <v>39.117935654928679</v>
      </c>
      <c r="M197" s="79">
        <f t="shared" si="185"/>
        <v>30.647737949650804</v>
      </c>
      <c r="N197" s="79">
        <f t="shared" si="185"/>
        <v>20.618673951879316</v>
      </c>
      <c r="O197" s="79">
        <f t="shared" si="185"/>
        <v>24.849341668780777</v>
      </c>
      <c r="P197" s="79">
        <f t="shared" si="185"/>
        <v>30.308645564215279</v>
      </c>
    </row>
    <row r="198" spans="2:16" ht="14.25" customHeight="1" x14ac:dyDescent="0.3">
      <c r="B198" s="4"/>
      <c r="C198" s="4" t="str">
        <f t="shared" si="180"/>
        <v>Instalación (casetas, cercos, enmallado, zanjas, cableado, drywal y otros)</v>
      </c>
      <c r="D198" s="6" t="s">
        <v>41</v>
      </c>
      <c r="E198" s="6" t="s">
        <v>17</v>
      </c>
      <c r="F198" s="79">
        <f t="shared" si="181"/>
        <v>28.618305184548817</v>
      </c>
      <c r="G198" s="4"/>
      <c r="H198" s="79">
        <f t="shared" ref="H198:P198" si="186">+(H$7*G$181+H21*H$181-(H$181-G$181))/(1-IR)</f>
        <v>22.091795653274716</v>
      </c>
      <c r="I198" s="79">
        <f t="shared" si="186"/>
        <v>25.557496773408864</v>
      </c>
      <c r="J198" s="79">
        <f t="shared" si="186"/>
        <v>33.87895130624554</v>
      </c>
      <c r="K198" s="79">
        <f t="shared" si="186"/>
        <v>34.350081934746683</v>
      </c>
      <c r="L198" s="79">
        <f t="shared" si="186"/>
        <v>38.36255944310679</v>
      </c>
      <c r="M198" s="79">
        <f t="shared" si="186"/>
        <v>29.913000653711212</v>
      </c>
      <c r="N198" s="79">
        <f t="shared" si="186"/>
        <v>19.843069236510825</v>
      </c>
      <c r="O198" s="79">
        <f t="shared" si="186"/>
        <v>24.050488075908703</v>
      </c>
      <c r="P198" s="79">
        <f t="shared" si="186"/>
        <v>29.517303584026074</v>
      </c>
    </row>
    <row r="199" spans="2:16" ht="14.25" customHeight="1" x14ac:dyDescent="0.3">
      <c r="B199" s="4"/>
      <c r="C199" s="4" t="str">
        <f t="shared" si="180"/>
        <v>Implementación Sala Servidores</v>
      </c>
      <c r="D199" s="6" t="s">
        <v>41</v>
      </c>
      <c r="E199" s="6" t="s">
        <v>17</v>
      </c>
      <c r="F199" s="79">
        <f t="shared" si="181"/>
        <v>58.930292319879058</v>
      </c>
      <c r="G199" s="4"/>
      <c r="H199" s="79">
        <f t="shared" ref="H199:P199" si="187">+(H$7*G$181+H22*H$181-(H$181-G$181))/(1-IR)</f>
        <v>53.66435683301323</v>
      </c>
      <c r="I199" s="79">
        <f t="shared" si="187"/>
        <v>58.09075919473657</v>
      </c>
      <c r="J199" s="79">
        <f t="shared" si="187"/>
        <v>65.768438348751829</v>
      </c>
      <c r="K199" s="79">
        <f t="shared" si="187"/>
        <v>65.251427107836534</v>
      </c>
      <c r="L199" s="79">
        <f t="shared" si="187"/>
        <v>66.946671225099649</v>
      </c>
      <c r="M199" s="79">
        <f t="shared" si="187"/>
        <v>57.716117390578539</v>
      </c>
      <c r="N199" s="79">
        <f t="shared" si="187"/>
        <v>49.19264569360125</v>
      </c>
      <c r="O199" s="79">
        <f t="shared" si="187"/>
        <v>54.279822861323339</v>
      </c>
      <c r="P199" s="79">
        <f t="shared" si="187"/>
        <v>59.462392223970625</v>
      </c>
    </row>
    <row r="200" spans="2:16" ht="14.25" customHeight="1" x14ac:dyDescent="0.3">
      <c r="B200" s="4"/>
      <c r="C200" s="4" t="str">
        <f t="shared" si="180"/>
        <v>Muelles y bitas (refacción y señalización)</v>
      </c>
      <c r="D200" s="6" t="s">
        <v>41</v>
      </c>
      <c r="E200" s="6" t="s">
        <v>17</v>
      </c>
      <c r="F200" s="79">
        <f t="shared" si="181"/>
        <v>23.788254385074506</v>
      </c>
      <c r="G200" s="4"/>
      <c r="H200" s="79">
        <f t="shared" ref="H200:P200" si="188">+(H$7*G$181+H23*H$181-(H$181-G$181))/(1-IR)</f>
        <v>17.060879214612587</v>
      </c>
      <c r="I200" s="79">
        <f t="shared" si="188"/>
        <v>20.373497800788233</v>
      </c>
      <c r="J200" s="79">
        <f t="shared" si="188"/>
        <v>28.79753444971238</v>
      </c>
      <c r="K200" s="79">
        <f t="shared" si="188"/>
        <v>29.42612012743416</v>
      </c>
      <c r="L200" s="79">
        <f t="shared" si="188"/>
        <v>33.807836212706675</v>
      </c>
      <c r="M200" s="79">
        <f t="shared" si="188"/>
        <v>25.48272474922387</v>
      </c>
      <c r="N200" s="79">
        <f t="shared" si="188"/>
        <v>15.166373360456776</v>
      </c>
      <c r="O200" s="79">
        <f t="shared" si="188"/>
        <v>19.233607480255262</v>
      </c>
      <c r="P200" s="79">
        <f t="shared" si="188"/>
        <v>24.745716070480576</v>
      </c>
    </row>
    <row r="201" spans="2:16" ht="14.25" customHeight="1" collapsed="1" x14ac:dyDescent="0.3">
      <c r="B201" s="4"/>
      <c r="C201" s="4"/>
      <c r="D201" s="4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 ht="14.25" customHeight="1" x14ac:dyDescent="0.3">
      <c r="B202" s="7" t="str">
        <f>+B25</f>
        <v>Activos fijos (equipos - IPME)</v>
      </c>
      <c r="C202" s="4"/>
      <c r="D202" s="4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 ht="14.25" customHeight="1" x14ac:dyDescent="0.3">
      <c r="B203" s="4"/>
      <c r="C203" s="4" t="str">
        <f t="shared" si="180"/>
        <v>Accesorios fijos para maquinaria</v>
      </c>
      <c r="D203" s="6" t="s">
        <v>41</v>
      </c>
      <c r="E203" s="6" t="s">
        <v>17</v>
      </c>
      <c r="F203" s="79">
        <f t="shared" ref="F203" si="189">+AVERAGEIF(H203:P203,no_cero)</f>
        <v>34.109686196052948</v>
      </c>
      <c r="G203" s="4"/>
      <c r="H203" s="79">
        <f t="shared" ref="H203:P203" si="190">+(H$7*G$184+H26*H$184-(H$184-G$184))/(1-IR)</f>
        <v>31.324790488477305</v>
      </c>
      <c r="I203" s="79">
        <f t="shared" si="190"/>
        <v>29.808671811726985</v>
      </c>
      <c r="J203" s="79">
        <f t="shared" si="190"/>
        <v>36.18688801527211</v>
      </c>
      <c r="K203" s="79">
        <f t="shared" si="190"/>
        <v>36.129819116088214</v>
      </c>
      <c r="L203" s="79">
        <f t="shared" si="190"/>
        <v>39.066820097536016</v>
      </c>
      <c r="M203" s="79">
        <f t="shared" si="190"/>
        <v>35.176515101239225</v>
      </c>
      <c r="N203" s="79">
        <f t="shared" si="190"/>
        <v>31.896610938956481</v>
      </c>
      <c r="O203" s="79">
        <f t="shared" si="190"/>
        <v>33.945109388261557</v>
      </c>
      <c r="P203" s="79">
        <f t="shared" si="190"/>
        <v>33.45195080691866</v>
      </c>
    </row>
    <row r="204" spans="2:16" ht="14.25" customHeight="1" x14ac:dyDescent="0.3">
      <c r="B204" s="4"/>
      <c r="C204" s="4" t="str">
        <f t="shared" si="180"/>
        <v>Camionetas</v>
      </c>
      <c r="D204" s="6" t="s">
        <v>41</v>
      </c>
      <c r="E204" s="6" t="s">
        <v>17</v>
      </c>
      <c r="F204" s="79">
        <f t="shared" ref="F204:F229" si="191">+AVERAGEIF(H204:P204,no_cero)</f>
        <v>42.283184063410793</v>
      </c>
      <c r="G204" s="4"/>
      <c r="H204" s="79">
        <f t="shared" ref="H204:P204" si="192">+(H$7*G$184+H27*H$184-(H$184-G$184))/(1-IR)</f>
        <v>39.488055794599752</v>
      </c>
      <c r="I204" s="79">
        <f t="shared" si="192"/>
        <v>38.23654658640222</v>
      </c>
      <c r="J204" s="79">
        <f t="shared" si="192"/>
        <v>44.59274490753252</v>
      </c>
      <c r="K204" s="79">
        <f t="shared" si="192"/>
        <v>44.491319114251567</v>
      </c>
      <c r="L204" s="79">
        <f t="shared" si="192"/>
        <v>47.148868538662313</v>
      </c>
      <c r="M204" s="79">
        <f t="shared" si="192"/>
        <v>43.153436409854059</v>
      </c>
      <c r="N204" s="79">
        <f t="shared" si="192"/>
        <v>39.958657469854032</v>
      </c>
      <c r="O204" s="79">
        <f t="shared" si="192"/>
        <v>41.985011855838664</v>
      </c>
      <c r="P204" s="79">
        <f t="shared" si="192"/>
        <v>41.494015893701985</v>
      </c>
    </row>
    <row r="205" spans="2:16" ht="14.25" customHeight="1" x14ac:dyDescent="0.3">
      <c r="B205" s="4"/>
      <c r="C205" s="4" t="str">
        <f t="shared" si="180"/>
        <v>Vehiculo incendio</v>
      </c>
      <c r="D205" s="6" t="s">
        <v>41</v>
      </c>
      <c r="E205" s="6" t="s">
        <v>17</v>
      </c>
      <c r="F205" s="79">
        <f t="shared" si="191"/>
        <v>42.283184063410793</v>
      </c>
      <c r="G205" s="4"/>
      <c r="H205" s="79">
        <f t="shared" ref="H205:P205" si="193">+(H$7*G$184+H28*H$184-(H$184-G$184))/(1-IR)</f>
        <v>39.488055794599752</v>
      </c>
      <c r="I205" s="79">
        <f t="shared" si="193"/>
        <v>38.23654658640222</v>
      </c>
      <c r="J205" s="79">
        <f t="shared" si="193"/>
        <v>44.59274490753252</v>
      </c>
      <c r="K205" s="79">
        <f t="shared" si="193"/>
        <v>44.491319114251567</v>
      </c>
      <c r="L205" s="79">
        <f t="shared" si="193"/>
        <v>47.148868538662313</v>
      </c>
      <c r="M205" s="79">
        <f t="shared" si="193"/>
        <v>43.153436409854059</v>
      </c>
      <c r="N205" s="79">
        <f t="shared" si="193"/>
        <v>39.958657469854032</v>
      </c>
      <c r="O205" s="79">
        <f t="shared" si="193"/>
        <v>41.985011855838664</v>
      </c>
      <c r="P205" s="79">
        <f t="shared" si="193"/>
        <v>41.494015893701985</v>
      </c>
    </row>
    <row r="206" spans="2:16" ht="14.25" customHeight="1" x14ac:dyDescent="0.3">
      <c r="B206" s="4"/>
      <c r="C206" s="4" t="str">
        <f t="shared" si="180"/>
        <v>Tractor</v>
      </c>
      <c r="D206" s="6" t="s">
        <v>41</v>
      </c>
      <c r="E206" s="6" t="s">
        <v>17</v>
      </c>
      <c r="F206" s="79">
        <f t="shared" si="191"/>
        <v>42.283184063410793</v>
      </c>
      <c r="G206" s="4"/>
      <c r="H206" s="79">
        <f t="shared" ref="H206:P206" si="194">+(H$7*G$184+H29*H$184-(H$184-G$184))/(1-IR)</f>
        <v>39.488055794599752</v>
      </c>
      <c r="I206" s="79">
        <f t="shared" si="194"/>
        <v>38.23654658640222</v>
      </c>
      <c r="J206" s="79">
        <f t="shared" si="194"/>
        <v>44.59274490753252</v>
      </c>
      <c r="K206" s="79">
        <f t="shared" si="194"/>
        <v>44.491319114251567</v>
      </c>
      <c r="L206" s="79">
        <f t="shared" si="194"/>
        <v>47.148868538662313</v>
      </c>
      <c r="M206" s="79">
        <f t="shared" si="194"/>
        <v>43.153436409854059</v>
      </c>
      <c r="N206" s="79">
        <f t="shared" si="194"/>
        <v>39.958657469854032</v>
      </c>
      <c r="O206" s="79">
        <f t="shared" si="194"/>
        <v>41.985011855838664</v>
      </c>
      <c r="P206" s="79">
        <f t="shared" si="194"/>
        <v>41.494015893701985</v>
      </c>
    </row>
    <row r="207" spans="2:16" ht="14.25" customHeight="1" x14ac:dyDescent="0.3">
      <c r="B207" s="4"/>
      <c r="C207" s="4" t="str">
        <f t="shared" si="180"/>
        <v>Camión</v>
      </c>
      <c r="D207" s="6" t="s">
        <v>41</v>
      </c>
      <c r="E207" s="6" t="s">
        <v>17</v>
      </c>
      <c r="F207" s="79">
        <f t="shared" si="191"/>
        <v>42.283184063410793</v>
      </c>
      <c r="G207" s="4"/>
      <c r="H207" s="79">
        <f t="shared" ref="H207:P207" si="195">+(H$7*G$184+H30*H$184-(H$184-G$184))/(1-IR)</f>
        <v>39.488055794599752</v>
      </c>
      <c r="I207" s="79">
        <f t="shared" si="195"/>
        <v>38.23654658640222</v>
      </c>
      <c r="J207" s="79">
        <f t="shared" si="195"/>
        <v>44.59274490753252</v>
      </c>
      <c r="K207" s="79">
        <f t="shared" si="195"/>
        <v>44.491319114251567</v>
      </c>
      <c r="L207" s="79">
        <f t="shared" si="195"/>
        <v>47.148868538662313</v>
      </c>
      <c r="M207" s="79">
        <f t="shared" si="195"/>
        <v>43.153436409854059</v>
      </c>
      <c r="N207" s="79">
        <f t="shared" si="195"/>
        <v>39.958657469854032</v>
      </c>
      <c r="O207" s="79">
        <f t="shared" si="195"/>
        <v>41.985011855838664</v>
      </c>
      <c r="P207" s="79">
        <f t="shared" si="195"/>
        <v>41.494015893701985</v>
      </c>
    </row>
    <row r="208" spans="2:16" ht="14.25" customHeight="1" x14ac:dyDescent="0.3">
      <c r="B208" s="4"/>
      <c r="C208" s="4" t="str">
        <f t="shared" si="180"/>
        <v>Camión cisterna</v>
      </c>
      <c r="D208" s="6" t="s">
        <v>41</v>
      </c>
      <c r="E208" s="6" t="s">
        <v>17</v>
      </c>
      <c r="F208" s="79">
        <f t="shared" si="191"/>
        <v>42.283184063410793</v>
      </c>
      <c r="G208" s="4"/>
      <c r="H208" s="79">
        <f t="shared" ref="H208:P208" si="196">+(H$7*G$184+H31*H$184-(H$184-G$184))/(1-IR)</f>
        <v>39.488055794599752</v>
      </c>
      <c r="I208" s="79">
        <f t="shared" si="196"/>
        <v>38.23654658640222</v>
      </c>
      <c r="J208" s="79">
        <f t="shared" si="196"/>
        <v>44.59274490753252</v>
      </c>
      <c r="K208" s="79">
        <f t="shared" si="196"/>
        <v>44.491319114251567</v>
      </c>
      <c r="L208" s="79">
        <f t="shared" si="196"/>
        <v>47.148868538662313</v>
      </c>
      <c r="M208" s="79">
        <f t="shared" si="196"/>
        <v>43.153436409854059</v>
      </c>
      <c r="N208" s="79">
        <f t="shared" si="196"/>
        <v>39.958657469854032</v>
      </c>
      <c r="O208" s="79">
        <f t="shared" si="196"/>
        <v>41.985011855838664</v>
      </c>
      <c r="P208" s="79">
        <f t="shared" si="196"/>
        <v>41.494015893701985</v>
      </c>
    </row>
    <row r="209" spans="3:16" ht="14.25" customHeight="1" x14ac:dyDescent="0.3">
      <c r="C209" s="4" t="str">
        <f t="shared" si="180"/>
        <v>Equipos de cómputo</v>
      </c>
      <c r="D209" s="6" t="s">
        <v>41</v>
      </c>
      <c r="E209" s="6" t="s">
        <v>17</v>
      </c>
      <c r="F209" s="79">
        <f t="shared" si="191"/>
        <v>61.354679087245735</v>
      </c>
      <c r="H209" s="79">
        <f t="shared" ref="H209:P209" si="197">+(H$7*G$184+H32*H$184-(H$184-G$184))/(1-IR)</f>
        <v>58.535674842218803</v>
      </c>
      <c r="I209" s="79">
        <f t="shared" si="197"/>
        <v>57.901587727311103</v>
      </c>
      <c r="J209" s="79">
        <f t="shared" si="197"/>
        <v>64.206410989473454</v>
      </c>
      <c r="K209" s="79">
        <f t="shared" si="197"/>
        <v>64.001485776632691</v>
      </c>
      <c r="L209" s="79">
        <f t="shared" si="197"/>
        <v>66.00698156795697</v>
      </c>
      <c r="M209" s="79">
        <f t="shared" si="197"/>
        <v>61.766252796621977</v>
      </c>
      <c r="N209" s="79">
        <f t="shared" si="197"/>
        <v>58.770099375281632</v>
      </c>
      <c r="O209" s="79">
        <f t="shared" si="197"/>
        <v>60.744784280185236</v>
      </c>
      <c r="P209" s="79">
        <f t="shared" si="197"/>
        <v>60.258834429529728</v>
      </c>
    </row>
    <row r="210" spans="3:16" ht="14.25" customHeight="1" x14ac:dyDescent="0.3">
      <c r="C210" s="4" t="str">
        <f t="shared" si="180"/>
        <v>Motor bomba grúa</v>
      </c>
      <c r="D210" s="6" t="s">
        <v>41</v>
      </c>
      <c r="E210" s="6" t="s">
        <v>17</v>
      </c>
      <c r="F210" s="79">
        <f t="shared" si="191"/>
        <v>34.109686196052948</v>
      </c>
      <c r="H210" s="79">
        <f t="shared" ref="H210:P210" si="198">+(H$7*G$184+H33*H$184-(H$184-G$184))/(1-IR)</f>
        <v>31.324790488477305</v>
      </c>
      <c r="I210" s="79">
        <f t="shared" si="198"/>
        <v>29.808671811726985</v>
      </c>
      <c r="J210" s="79">
        <f t="shared" si="198"/>
        <v>36.18688801527211</v>
      </c>
      <c r="K210" s="79">
        <f t="shared" si="198"/>
        <v>36.129819116088214</v>
      </c>
      <c r="L210" s="79">
        <f t="shared" si="198"/>
        <v>39.066820097536016</v>
      </c>
      <c r="M210" s="79">
        <f t="shared" si="198"/>
        <v>35.176515101239225</v>
      </c>
      <c r="N210" s="79">
        <f t="shared" si="198"/>
        <v>31.896610938956481</v>
      </c>
      <c r="O210" s="79">
        <f t="shared" si="198"/>
        <v>33.945109388261557</v>
      </c>
      <c r="P210" s="79">
        <f t="shared" si="198"/>
        <v>33.45195080691866</v>
      </c>
    </row>
    <row r="211" spans="3:16" ht="14.25" customHeight="1" x14ac:dyDescent="0.3">
      <c r="C211" s="4" t="str">
        <f t="shared" si="180"/>
        <v>RTG (equipo soporte IT)</v>
      </c>
      <c r="D211" s="6" t="s">
        <v>41</v>
      </c>
      <c r="E211" s="6" t="s">
        <v>17</v>
      </c>
      <c r="F211" s="79">
        <f t="shared" si="191"/>
        <v>61.354679087245735</v>
      </c>
      <c r="H211" s="79">
        <f t="shared" ref="H211:P211" si="199">+(H$7*G$184+H34*H$184-(H$184-G$184))/(1-IR)</f>
        <v>58.535674842218803</v>
      </c>
      <c r="I211" s="79">
        <f t="shared" si="199"/>
        <v>57.901587727311103</v>
      </c>
      <c r="J211" s="79">
        <f t="shared" si="199"/>
        <v>64.206410989473454</v>
      </c>
      <c r="K211" s="79">
        <f t="shared" si="199"/>
        <v>64.001485776632691</v>
      </c>
      <c r="L211" s="79">
        <f t="shared" si="199"/>
        <v>66.00698156795697</v>
      </c>
      <c r="M211" s="79">
        <f t="shared" si="199"/>
        <v>61.766252796621977</v>
      </c>
      <c r="N211" s="79">
        <f t="shared" si="199"/>
        <v>58.770099375281632</v>
      </c>
      <c r="O211" s="79">
        <f t="shared" si="199"/>
        <v>60.744784280185236</v>
      </c>
      <c r="P211" s="79">
        <f t="shared" si="199"/>
        <v>60.258834429529728</v>
      </c>
    </row>
    <row r="212" spans="3:16" ht="14.25" customHeight="1" x14ac:dyDescent="0.3">
      <c r="C212" s="4" t="str">
        <f t="shared" si="180"/>
        <v>Reach stacker (equipo soporte IT)</v>
      </c>
      <c r="D212" s="6" t="s">
        <v>41</v>
      </c>
      <c r="E212" s="6" t="s">
        <v>17</v>
      </c>
      <c r="F212" s="79">
        <f t="shared" si="191"/>
        <v>61.354679087245735</v>
      </c>
      <c r="H212" s="79">
        <f t="shared" ref="H212:P212" si="200">+(H$7*G$184+H35*H$184-(H$184-G$184))/(1-IR)</f>
        <v>58.535674842218803</v>
      </c>
      <c r="I212" s="79">
        <f t="shared" si="200"/>
        <v>57.901587727311103</v>
      </c>
      <c r="J212" s="79">
        <f t="shared" si="200"/>
        <v>64.206410989473454</v>
      </c>
      <c r="K212" s="79">
        <f t="shared" si="200"/>
        <v>64.001485776632691</v>
      </c>
      <c r="L212" s="79">
        <f t="shared" si="200"/>
        <v>66.00698156795697</v>
      </c>
      <c r="M212" s="79">
        <f t="shared" si="200"/>
        <v>61.766252796621977</v>
      </c>
      <c r="N212" s="79">
        <f t="shared" si="200"/>
        <v>58.770099375281632</v>
      </c>
      <c r="O212" s="79">
        <f t="shared" si="200"/>
        <v>60.744784280185236</v>
      </c>
      <c r="P212" s="79">
        <f t="shared" si="200"/>
        <v>60.258834429529728</v>
      </c>
    </row>
    <row r="213" spans="3:16" ht="14.25" customHeight="1" x14ac:dyDescent="0.3">
      <c r="C213" s="4" t="str">
        <f t="shared" si="180"/>
        <v>Bote inspección</v>
      </c>
      <c r="D213" s="6" t="s">
        <v>41</v>
      </c>
      <c r="E213" s="6" t="s">
        <v>17</v>
      </c>
      <c r="F213" s="79">
        <f t="shared" si="191"/>
        <v>34.109686196052948</v>
      </c>
      <c r="H213" s="79">
        <f t="shared" ref="H213:P213" si="201">+(H$7*G$184+H36*H$184-(H$184-G$184))/(1-IR)</f>
        <v>31.324790488477305</v>
      </c>
      <c r="I213" s="79">
        <f t="shared" si="201"/>
        <v>29.808671811726985</v>
      </c>
      <c r="J213" s="79">
        <f t="shared" si="201"/>
        <v>36.18688801527211</v>
      </c>
      <c r="K213" s="79">
        <f t="shared" si="201"/>
        <v>36.129819116088214</v>
      </c>
      <c r="L213" s="79">
        <f t="shared" si="201"/>
        <v>39.066820097536016</v>
      </c>
      <c r="M213" s="79">
        <f t="shared" si="201"/>
        <v>35.176515101239225</v>
      </c>
      <c r="N213" s="79">
        <f t="shared" si="201"/>
        <v>31.896610938956481</v>
      </c>
      <c r="O213" s="79">
        <f t="shared" si="201"/>
        <v>33.945109388261557</v>
      </c>
      <c r="P213" s="79">
        <f t="shared" si="201"/>
        <v>33.45195080691866</v>
      </c>
    </row>
    <row r="214" spans="3:16" ht="14.25" customHeight="1" x14ac:dyDescent="0.3">
      <c r="C214" s="4" t="str">
        <f t="shared" si="180"/>
        <v>Cuchara y tolvas</v>
      </c>
      <c r="D214" s="6" t="s">
        <v>41</v>
      </c>
      <c r="E214" s="6" t="s">
        <v>17</v>
      </c>
      <c r="F214" s="79">
        <f t="shared" si="191"/>
        <v>34.109686196052948</v>
      </c>
      <c r="H214" s="79">
        <f t="shared" ref="H214:P214" si="202">+(H$7*G$184+H37*H$184-(H$184-G$184))/(1-IR)</f>
        <v>31.324790488477305</v>
      </c>
      <c r="I214" s="79">
        <f t="shared" si="202"/>
        <v>29.808671811726985</v>
      </c>
      <c r="J214" s="79">
        <f t="shared" si="202"/>
        <v>36.18688801527211</v>
      </c>
      <c r="K214" s="79">
        <f t="shared" si="202"/>
        <v>36.129819116088214</v>
      </c>
      <c r="L214" s="79">
        <f t="shared" si="202"/>
        <v>39.066820097536016</v>
      </c>
      <c r="M214" s="79">
        <f t="shared" si="202"/>
        <v>35.176515101239225</v>
      </c>
      <c r="N214" s="79">
        <f t="shared" si="202"/>
        <v>31.896610938956481</v>
      </c>
      <c r="O214" s="79">
        <f t="shared" si="202"/>
        <v>33.945109388261557</v>
      </c>
      <c r="P214" s="79">
        <f t="shared" si="202"/>
        <v>33.45195080691866</v>
      </c>
    </row>
    <row r="215" spans="3:16" ht="14.25" customHeight="1" x14ac:dyDescent="0.3">
      <c r="C215" s="4" t="str">
        <f t="shared" si="180"/>
        <v>Equipo descarga pescado</v>
      </c>
      <c r="D215" s="6" t="s">
        <v>41</v>
      </c>
      <c r="E215" s="6" t="s">
        <v>17</v>
      </c>
      <c r="F215" s="79">
        <f t="shared" si="191"/>
        <v>34.109686196052948</v>
      </c>
      <c r="H215" s="79">
        <f t="shared" ref="H215:P215" si="203">+(H$7*G$184+H38*H$184-(H$184-G$184))/(1-IR)</f>
        <v>31.324790488477305</v>
      </c>
      <c r="I215" s="79">
        <f t="shared" si="203"/>
        <v>29.808671811726985</v>
      </c>
      <c r="J215" s="79">
        <f t="shared" si="203"/>
        <v>36.18688801527211</v>
      </c>
      <c r="K215" s="79">
        <f t="shared" si="203"/>
        <v>36.129819116088214</v>
      </c>
      <c r="L215" s="79">
        <f t="shared" si="203"/>
        <v>39.066820097536016</v>
      </c>
      <c r="M215" s="79">
        <f t="shared" si="203"/>
        <v>35.176515101239225</v>
      </c>
      <c r="N215" s="79">
        <f t="shared" si="203"/>
        <v>31.896610938956481</v>
      </c>
      <c r="O215" s="79">
        <f t="shared" si="203"/>
        <v>33.945109388261557</v>
      </c>
      <c r="P215" s="79">
        <f t="shared" si="203"/>
        <v>33.45195080691866</v>
      </c>
    </row>
    <row r="216" spans="3:16" ht="14.25" customHeight="1" x14ac:dyDescent="0.3">
      <c r="C216" s="4" t="str">
        <f t="shared" si="180"/>
        <v>Spreader (MHC)</v>
      </c>
      <c r="D216" s="6" t="s">
        <v>41</v>
      </c>
      <c r="E216" s="6" t="s">
        <v>17</v>
      </c>
      <c r="F216" s="79">
        <f t="shared" si="191"/>
        <v>34.109686196052948</v>
      </c>
      <c r="H216" s="79">
        <f t="shared" ref="H216:P216" si="204">+(H$7*G$184+H39*H$184-(H$184-G$184))/(1-IR)</f>
        <v>31.324790488477305</v>
      </c>
      <c r="I216" s="79">
        <f t="shared" si="204"/>
        <v>29.808671811726985</v>
      </c>
      <c r="J216" s="79">
        <f t="shared" si="204"/>
        <v>36.18688801527211</v>
      </c>
      <c r="K216" s="79">
        <f t="shared" si="204"/>
        <v>36.129819116088214</v>
      </c>
      <c r="L216" s="79">
        <f t="shared" si="204"/>
        <v>39.066820097536016</v>
      </c>
      <c r="M216" s="79">
        <f t="shared" si="204"/>
        <v>35.176515101239225</v>
      </c>
      <c r="N216" s="79">
        <f t="shared" si="204"/>
        <v>31.896610938956481</v>
      </c>
      <c r="O216" s="79">
        <f t="shared" si="204"/>
        <v>33.945109388261557</v>
      </c>
      <c r="P216" s="79">
        <f t="shared" si="204"/>
        <v>33.45195080691866</v>
      </c>
    </row>
    <row r="217" spans="3:16" ht="14.25" customHeight="1" x14ac:dyDescent="0.3">
      <c r="C217" s="4" t="str">
        <f t="shared" si="180"/>
        <v>Apilador</v>
      </c>
      <c r="D217" s="6" t="s">
        <v>41</v>
      </c>
      <c r="E217" s="6" t="s">
        <v>17</v>
      </c>
      <c r="F217" s="79">
        <f t="shared" si="191"/>
        <v>34.109686196052948</v>
      </c>
      <c r="H217" s="79">
        <f t="shared" ref="H217:P217" si="205">+(H$7*G$184+H40*H$184-(H$184-G$184))/(1-IR)</f>
        <v>31.324790488477305</v>
      </c>
      <c r="I217" s="79">
        <f t="shared" si="205"/>
        <v>29.808671811726985</v>
      </c>
      <c r="J217" s="79">
        <f t="shared" si="205"/>
        <v>36.18688801527211</v>
      </c>
      <c r="K217" s="79">
        <f t="shared" si="205"/>
        <v>36.129819116088214</v>
      </c>
      <c r="L217" s="79">
        <f t="shared" si="205"/>
        <v>39.066820097536016</v>
      </c>
      <c r="M217" s="79">
        <f t="shared" si="205"/>
        <v>35.176515101239225</v>
      </c>
      <c r="N217" s="79">
        <f t="shared" si="205"/>
        <v>31.896610938956481</v>
      </c>
      <c r="O217" s="79">
        <f t="shared" si="205"/>
        <v>33.945109388261557</v>
      </c>
      <c r="P217" s="79">
        <f t="shared" si="205"/>
        <v>33.45195080691866</v>
      </c>
    </row>
    <row r="218" spans="3:16" ht="14.25" customHeight="1" x14ac:dyDescent="0.3">
      <c r="C218" s="4" t="str">
        <f t="shared" si="180"/>
        <v>Reach stacker (overhaul)</v>
      </c>
      <c r="D218" s="6" t="s">
        <v>41</v>
      </c>
      <c r="E218" s="6" t="s">
        <v>17</v>
      </c>
      <c r="F218" s="79">
        <f t="shared" si="191"/>
        <v>49.434994697348891</v>
      </c>
      <c r="H218" s="79">
        <f t="shared" ref="H218:P218" si="206">+(H$7*G$184+H41*H$184-(H$184-G$184))/(1-IR)</f>
        <v>46.630912937456905</v>
      </c>
      <c r="I218" s="79">
        <f t="shared" si="206"/>
        <v>45.610937014243042</v>
      </c>
      <c r="J218" s="79">
        <f t="shared" si="206"/>
        <v>51.947869688260369</v>
      </c>
      <c r="K218" s="79">
        <f t="shared" si="206"/>
        <v>51.807631612644485</v>
      </c>
      <c r="L218" s="79">
        <f t="shared" si="206"/>
        <v>54.22066092464781</v>
      </c>
      <c r="M218" s="79">
        <f t="shared" si="206"/>
        <v>50.133242554892021</v>
      </c>
      <c r="N218" s="79">
        <f t="shared" si="206"/>
        <v>47.01294818438938</v>
      </c>
      <c r="O218" s="79">
        <f t="shared" si="206"/>
        <v>49.019926514968631</v>
      </c>
      <c r="P218" s="79">
        <f t="shared" si="206"/>
        <v>48.530822844637385</v>
      </c>
    </row>
    <row r="219" spans="3:16" ht="14.25" customHeight="1" x14ac:dyDescent="0.3">
      <c r="C219" s="4" t="str">
        <f t="shared" si="180"/>
        <v>Terminal tractor (overhaul)</v>
      </c>
      <c r="D219" s="6" t="s">
        <v>41</v>
      </c>
      <c r="E219" s="6" t="s">
        <v>17</v>
      </c>
      <c r="F219" s="79">
        <f t="shared" si="191"/>
        <v>49.434994697348891</v>
      </c>
      <c r="H219" s="79">
        <f t="shared" ref="H219:P219" si="207">+(H$7*G$184+H42*H$184-(H$184-G$184))/(1-IR)</f>
        <v>46.630912937456905</v>
      </c>
      <c r="I219" s="79">
        <f t="shared" si="207"/>
        <v>45.610937014243042</v>
      </c>
      <c r="J219" s="79">
        <f t="shared" si="207"/>
        <v>51.947869688260369</v>
      </c>
      <c r="K219" s="79">
        <f t="shared" si="207"/>
        <v>51.807631612644485</v>
      </c>
      <c r="L219" s="79">
        <f t="shared" si="207"/>
        <v>54.22066092464781</v>
      </c>
      <c r="M219" s="79">
        <f t="shared" si="207"/>
        <v>50.133242554892021</v>
      </c>
      <c r="N219" s="79">
        <f t="shared" si="207"/>
        <v>47.01294818438938</v>
      </c>
      <c r="O219" s="79">
        <f t="shared" si="207"/>
        <v>49.019926514968631</v>
      </c>
      <c r="P219" s="79">
        <f t="shared" si="207"/>
        <v>48.530822844637385</v>
      </c>
    </row>
    <row r="220" spans="3:16" ht="14.25" customHeight="1" x14ac:dyDescent="0.3">
      <c r="C220" s="4" t="str">
        <f t="shared" si="180"/>
        <v>Trailer para spreaders</v>
      </c>
      <c r="D220" s="6" t="s">
        <v>41</v>
      </c>
      <c r="E220" s="6" t="s">
        <v>17</v>
      </c>
      <c r="F220" s="79">
        <f t="shared" si="191"/>
        <v>34.109686196052948</v>
      </c>
      <c r="H220" s="79">
        <f t="shared" ref="H220:P220" si="208">+(H$7*G$184+H43*H$184-(H$184-G$184))/(1-IR)</f>
        <v>31.324790488477305</v>
      </c>
      <c r="I220" s="79">
        <f t="shared" si="208"/>
        <v>29.808671811726985</v>
      </c>
      <c r="J220" s="79">
        <f t="shared" si="208"/>
        <v>36.18688801527211</v>
      </c>
      <c r="K220" s="79">
        <f t="shared" si="208"/>
        <v>36.129819116088214</v>
      </c>
      <c r="L220" s="79">
        <f t="shared" si="208"/>
        <v>39.066820097536016</v>
      </c>
      <c r="M220" s="79">
        <f t="shared" si="208"/>
        <v>35.176515101239225</v>
      </c>
      <c r="N220" s="79">
        <f t="shared" si="208"/>
        <v>31.896610938956481</v>
      </c>
      <c r="O220" s="79">
        <f t="shared" si="208"/>
        <v>33.945109388261557</v>
      </c>
      <c r="P220" s="79">
        <f t="shared" si="208"/>
        <v>33.45195080691866</v>
      </c>
    </row>
    <row r="221" spans="3:16" ht="14.25" customHeight="1" x14ac:dyDescent="0.3">
      <c r="C221" s="4" t="str">
        <f t="shared" si="180"/>
        <v>Escaner y detectores</v>
      </c>
      <c r="D221" s="6" t="s">
        <v>41</v>
      </c>
      <c r="E221" s="6" t="s">
        <v>17</v>
      </c>
      <c r="F221" s="79">
        <f t="shared" si="191"/>
        <v>34.109686196052948</v>
      </c>
      <c r="H221" s="79">
        <f t="shared" ref="H221:P221" si="209">+(H$7*G$184+H44*H$184-(H$184-G$184))/(1-IR)</f>
        <v>31.324790488477305</v>
      </c>
      <c r="I221" s="79">
        <f t="shared" si="209"/>
        <v>29.808671811726985</v>
      </c>
      <c r="J221" s="79">
        <f t="shared" si="209"/>
        <v>36.18688801527211</v>
      </c>
      <c r="K221" s="79">
        <f t="shared" si="209"/>
        <v>36.129819116088214</v>
      </c>
      <c r="L221" s="79">
        <f t="shared" si="209"/>
        <v>39.066820097536016</v>
      </c>
      <c r="M221" s="79">
        <f t="shared" si="209"/>
        <v>35.176515101239225</v>
      </c>
      <c r="N221" s="79">
        <f t="shared" si="209"/>
        <v>31.896610938956481</v>
      </c>
      <c r="O221" s="79">
        <f t="shared" si="209"/>
        <v>33.945109388261557</v>
      </c>
      <c r="P221" s="79">
        <f t="shared" si="209"/>
        <v>33.45195080691866</v>
      </c>
    </row>
    <row r="222" spans="3:16" ht="14.25" customHeight="1" x14ac:dyDescent="0.3">
      <c r="C222" s="4" t="str">
        <f t="shared" si="180"/>
        <v>Over height frame</v>
      </c>
      <c r="D222" s="6" t="s">
        <v>41</v>
      </c>
      <c r="E222" s="6" t="s">
        <v>17</v>
      </c>
      <c r="F222" s="79">
        <f t="shared" si="191"/>
        <v>34.109686196052948</v>
      </c>
      <c r="H222" s="79">
        <f t="shared" ref="H222:P222" si="210">+(H$7*G$184+H45*H$184-(H$184-G$184))/(1-IR)</f>
        <v>31.324790488477305</v>
      </c>
      <c r="I222" s="79">
        <f t="shared" si="210"/>
        <v>29.808671811726985</v>
      </c>
      <c r="J222" s="79">
        <f t="shared" si="210"/>
        <v>36.18688801527211</v>
      </c>
      <c r="K222" s="79">
        <f t="shared" si="210"/>
        <v>36.129819116088214</v>
      </c>
      <c r="L222" s="79">
        <f t="shared" si="210"/>
        <v>39.066820097536016</v>
      </c>
      <c r="M222" s="79">
        <f t="shared" si="210"/>
        <v>35.176515101239225</v>
      </c>
      <c r="N222" s="79">
        <f t="shared" si="210"/>
        <v>31.896610938956481</v>
      </c>
      <c r="O222" s="79">
        <f t="shared" si="210"/>
        <v>33.945109388261557</v>
      </c>
      <c r="P222" s="79">
        <f t="shared" si="210"/>
        <v>33.45195080691866</v>
      </c>
    </row>
    <row r="223" spans="3:16" ht="14.25" customHeight="1" x14ac:dyDescent="0.3">
      <c r="C223" s="4" t="str">
        <f t="shared" si="180"/>
        <v>Muebles y enseres</v>
      </c>
      <c r="D223" s="6" t="s">
        <v>41</v>
      </c>
      <c r="E223" s="6" t="s">
        <v>17</v>
      </c>
      <c r="F223" s="79">
        <f t="shared" si="191"/>
        <v>34.037502642938868</v>
      </c>
      <c r="H223" s="79">
        <f t="shared" ref="H223:P223" si="211">+(H$7*G$184+H46*H$184-(H$184-G$184))/(1-IR)</f>
        <v>31.252697303359817</v>
      </c>
      <c r="I223" s="79">
        <f t="shared" si="211"/>
        <v>29.73424175053297</v>
      </c>
      <c r="J223" s="79">
        <f t="shared" si="211"/>
        <v>36.112652403139023</v>
      </c>
      <c r="K223" s="79">
        <f t="shared" si="211"/>
        <v>36.055975238102853</v>
      </c>
      <c r="L223" s="79">
        <f t="shared" si="211"/>
        <v>38.995444172272677</v>
      </c>
      <c r="M223" s="79">
        <f t="shared" si="211"/>
        <v>35.106067597329456</v>
      </c>
      <c r="N223" s="79">
        <f t="shared" si="211"/>
        <v>31.825411658866706</v>
      </c>
      <c r="O223" s="79">
        <f t="shared" si="211"/>
        <v>33.874105671588666</v>
      </c>
      <c r="P223" s="79">
        <f t="shared" si="211"/>
        <v>33.380927991257693</v>
      </c>
    </row>
    <row r="224" spans="3:16" ht="14.25" customHeight="1" x14ac:dyDescent="0.3">
      <c r="C224" s="4" t="str">
        <f t="shared" si="180"/>
        <v>Equipos diversos</v>
      </c>
      <c r="D224" s="6" t="s">
        <v>41</v>
      </c>
      <c r="E224" s="6" t="s">
        <v>17</v>
      </c>
      <c r="F224" s="79">
        <f t="shared" si="191"/>
        <v>34.037502642938868</v>
      </c>
      <c r="H224" s="79">
        <f t="shared" ref="H224:P224" si="212">+(H$7*G$184+H47*H$184-(H$184-G$184))/(1-IR)</f>
        <v>31.252697303359817</v>
      </c>
      <c r="I224" s="79">
        <f t="shared" si="212"/>
        <v>29.73424175053297</v>
      </c>
      <c r="J224" s="79">
        <f t="shared" si="212"/>
        <v>36.112652403139023</v>
      </c>
      <c r="K224" s="79">
        <f t="shared" si="212"/>
        <v>36.055975238102853</v>
      </c>
      <c r="L224" s="79">
        <f t="shared" si="212"/>
        <v>38.995444172272677</v>
      </c>
      <c r="M224" s="79">
        <f t="shared" si="212"/>
        <v>35.106067597329456</v>
      </c>
      <c r="N224" s="79">
        <f t="shared" si="212"/>
        <v>31.825411658866706</v>
      </c>
      <c r="O224" s="79">
        <f t="shared" si="212"/>
        <v>33.874105671588666</v>
      </c>
      <c r="P224" s="79">
        <f t="shared" si="212"/>
        <v>33.380927991257693</v>
      </c>
    </row>
    <row r="225" spans="2:16" ht="14.25" customHeight="1" x14ac:dyDescent="0.3">
      <c r="C225" s="4" t="str">
        <f t="shared" si="180"/>
        <v>Terminal Tractor</v>
      </c>
      <c r="D225" s="6" t="s">
        <v>41</v>
      </c>
      <c r="E225" s="6" t="s">
        <v>17</v>
      </c>
      <c r="F225" s="79">
        <f t="shared" si="191"/>
        <v>34.703810375266876</v>
      </c>
      <c r="H225" s="79">
        <f t="shared" ref="H225:P225" si="213">+(H$7*G$184+H48*H$184-(H$184-G$184))/(1-IR)</f>
        <v>31.91817087205515</v>
      </c>
      <c r="I225" s="79">
        <f t="shared" si="213"/>
        <v>30.421286418628476</v>
      </c>
      <c r="J225" s="79">
        <f t="shared" si="213"/>
        <v>36.797902162183284</v>
      </c>
      <c r="K225" s="79">
        <f t="shared" si="213"/>
        <v>36.73760900042226</v>
      </c>
      <c r="L225" s="79">
        <f t="shared" si="213"/>
        <v>39.654296900537069</v>
      </c>
      <c r="M225" s="79">
        <f t="shared" si="213"/>
        <v>35.756350307909052</v>
      </c>
      <c r="N225" s="79">
        <f t="shared" si="213"/>
        <v>32.48263382116496</v>
      </c>
      <c r="O225" s="79">
        <f t="shared" si="213"/>
        <v>34.529522638503629</v>
      </c>
      <c r="P225" s="79">
        <f t="shared" si="213"/>
        <v>34.036521255997961</v>
      </c>
    </row>
    <row r="226" spans="2:16" ht="14.25" customHeight="1" x14ac:dyDescent="0.3">
      <c r="C226" s="4" t="str">
        <f t="shared" si="180"/>
        <v>Montacargas</v>
      </c>
      <c r="D226" s="6" t="s">
        <v>41</v>
      </c>
      <c r="E226" s="6" t="s">
        <v>17</v>
      </c>
      <c r="F226" s="79">
        <f t="shared" si="191"/>
        <v>34.341904397946664</v>
      </c>
      <c r="H226" s="79">
        <f t="shared" ref="H226:P226" si="214">+(H$7*G$184+H49*H$184-(H$184-G$184))/(1-IR)</f>
        <v>31.556717971879451</v>
      </c>
      <c r="I226" s="79">
        <f t="shared" si="214"/>
        <v>30.048117145624534</v>
      </c>
      <c r="J226" s="79">
        <f t="shared" si="214"/>
        <v>36.425707796542532</v>
      </c>
      <c r="K226" s="79">
        <f t="shared" si="214"/>
        <v>36.367378668463246</v>
      </c>
      <c r="L226" s="79">
        <f t="shared" si="214"/>
        <v>39.29644011910738</v>
      </c>
      <c r="M226" s="79">
        <f t="shared" si="214"/>
        <v>35.403148343578714</v>
      </c>
      <c r="N226" s="79">
        <f t="shared" si="214"/>
        <v>32.125662683921782</v>
      </c>
      <c r="O226" s="79">
        <f t="shared" si="214"/>
        <v>34.173531995659275</v>
      </c>
      <c r="P226" s="79">
        <f t="shared" si="214"/>
        <v>33.680434856743062</v>
      </c>
    </row>
    <row r="227" spans="2:16" ht="14.25" customHeight="1" x14ac:dyDescent="0.3">
      <c r="C227" s="4" t="str">
        <f t="shared" si="180"/>
        <v>STS Spreader</v>
      </c>
      <c r="D227" s="6" t="s">
        <v>41</v>
      </c>
      <c r="E227" s="6" t="s">
        <v>17</v>
      </c>
      <c r="F227" s="79">
        <f t="shared" si="191"/>
        <v>33.904238121841381</v>
      </c>
      <c r="H227" s="79">
        <f t="shared" ref="H227:P227" si="215">+(H$7*G$184+H50*H$184-(H$184-G$184))/(1-IR)</f>
        <v>31.119599618712858</v>
      </c>
      <c r="I227" s="79">
        <f t="shared" si="215"/>
        <v>29.596829749705002</v>
      </c>
      <c r="J227" s="79">
        <f t="shared" si="215"/>
        <v>35.975599392134413</v>
      </c>
      <c r="K227" s="79">
        <f t="shared" si="215"/>
        <v>35.919645442586287</v>
      </c>
      <c r="L227" s="79">
        <f t="shared" si="215"/>
        <v>38.863670685269653</v>
      </c>
      <c r="M227" s="79">
        <f t="shared" si="215"/>
        <v>34.976008152122965</v>
      </c>
      <c r="N227" s="79">
        <f t="shared" si="215"/>
        <v>31.693964292336332</v>
      </c>
      <c r="O227" s="79">
        <f t="shared" si="215"/>
        <v>33.743019352193976</v>
      </c>
      <c r="P227" s="79">
        <f t="shared" si="215"/>
        <v>33.249806411510889</v>
      </c>
    </row>
    <row r="228" spans="2:16" ht="14.25" customHeight="1" x14ac:dyDescent="0.3">
      <c r="C228" s="4" t="str">
        <f t="shared" si="180"/>
        <v>Equipos menores</v>
      </c>
      <c r="D228" s="6" t="s">
        <v>41</v>
      </c>
      <c r="E228" s="6" t="s">
        <v>17</v>
      </c>
      <c r="F228" s="79">
        <f t="shared" si="191"/>
        <v>29.21875817607458</v>
      </c>
      <c r="H228" s="79">
        <f t="shared" ref="H228:P228" si="216">+(H$7*G$184+H51*H$184-(H$184-G$184))/(1-IR)</f>
        <v>26.439985516583668</v>
      </c>
      <c r="I228" s="79">
        <f t="shared" si="216"/>
        <v>24.765527548002737</v>
      </c>
      <c r="J228" s="79">
        <f t="shared" si="216"/>
        <v>31.156919001580462</v>
      </c>
      <c r="K228" s="79">
        <f t="shared" si="216"/>
        <v>31.126392762557387</v>
      </c>
      <c r="L228" s="79">
        <f t="shared" si="216"/>
        <v>34.230614372519398</v>
      </c>
      <c r="M228" s="79">
        <f t="shared" si="216"/>
        <v>30.403216254820297</v>
      </c>
      <c r="N228" s="79">
        <f t="shared" si="216"/>
        <v>27.072374129180126</v>
      </c>
      <c r="O228" s="79">
        <f t="shared" si="216"/>
        <v>29.134123333734387</v>
      </c>
      <c r="P228" s="79">
        <f t="shared" si="216"/>
        <v>28.639670665692773</v>
      </c>
    </row>
    <row r="229" spans="2:16" ht="14.25" customHeight="1" x14ac:dyDescent="0.3">
      <c r="C229" s="4" t="str">
        <f t="shared" si="180"/>
        <v>Sistema seguridad maquinaria</v>
      </c>
      <c r="D229" s="6" t="s">
        <v>41</v>
      </c>
      <c r="E229" s="6" t="s">
        <v>17</v>
      </c>
      <c r="F229" s="79">
        <f t="shared" si="191"/>
        <v>36.060857318585768</v>
      </c>
      <c r="H229" s="79">
        <f t="shared" ref="H229:P229" si="217">+(H$7*G$184+H52*H$184-(H$184-G$184))/(1-IR)</f>
        <v>33.273518901864534</v>
      </c>
      <c r="I229" s="79">
        <f t="shared" si="217"/>
        <v>31.820567593867175</v>
      </c>
      <c r="J229" s="79">
        <f t="shared" si="217"/>
        <v>38.193527705461925</v>
      </c>
      <c r="K229" s="79">
        <f t="shared" si="217"/>
        <v>38.125869962645588</v>
      </c>
      <c r="L229" s="79">
        <f t="shared" si="217"/>
        <v>40.996160483396373</v>
      </c>
      <c r="M229" s="79">
        <f t="shared" si="217"/>
        <v>37.080759618907067</v>
      </c>
      <c r="N229" s="79">
        <f t="shared" si="217"/>
        <v>33.821176484195703</v>
      </c>
      <c r="O229" s="79">
        <f t="shared" si="217"/>
        <v>35.864388719741683</v>
      </c>
      <c r="P229" s="79">
        <f t="shared" si="217"/>
        <v>35.371746397191863</v>
      </c>
    </row>
    <row r="230" spans="2:16" ht="14.25" customHeight="1" collapsed="1" x14ac:dyDescent="0.3">
      <c r="C230" s="4"/>
      <c r="D230" s="6"/>
      <c r="E230" s="6"/>
      <c r="F230" s="79"/>
      <c r="H230" s="79"/>
    </row>
    <row r="231" spans="2:16" ht="14.25" customHeight="1" x14ac:dyDescent="0.3">
      <c r="B231" s="7" t="str">
        <f>+B54</f>
        <v>Intangibles (infraestructura - IPMC)</v>
      </c>
      <c r="C231" s="4"/>
      <c r="D231" s="6"/>
      <c r="E231" s="6"/>
      <c r="F231" s="79"/>
      <c r="H231" s="79"/>
    </row>
    <row r="232" spans="2:16" ht="14.25" customHeight="1" x14ac:dyDescent="0.3">
      <c r="C232" s="4" t="str">
        <f t="shared" si="180"/>
        <v xml:space="preserve">Muelle 5 </v>
      </c>
      <c r="D232" s="6" t="s">
        <v>41</v>
      </c>
      <c r="E232" s="6" t="s">
        <v>17</v>
      </c>
      <c r="F232" s="79">
        <f t="shared" ref="F232" si="218">+AVERAGEIF(H232:P232,no_cero)</f>
        <v>18.485958234504995</v>
      </c>
      <c r="H232" s="79">
        <f t="shared" ref="H232:P232" si="219">+(H$7*G$181+H55*H$181-(H$181-G$181))/(1-IR)</f>
        <v>11.538078322030199</v>
      </c>
      <c r="I232" s="79">
        <f t="shared" si="219"/>
        <v>14.682647137256042</v>
      </c>
      <c r="J232" s="79">
        <f t="shared" si="219"/>
        <v>23.219295595419762</v>
      </c>
      <c r="K232" s="79">
        <f t="shared" si="219"/>
        <v>24.020731070386162</v>
      </c>
      <c r="L232" s="79">
        <f t="shared" si="219"/>
        <v>28.807787050886596</v>
      </c>
      <c r="M232" s="79">
        <f t="shared" si="219"/>
        <v>20.619290419116894</v>
      </c>
      <c r="N232" s="79">
        <f t="shared" si="219"/>
        <v>10.03242600245291</v>
      </c>
      <c r="O232" s="79">
        <f t="shared" si="219"/>
        <v>13.945769215103709</v>
      </c>
      <c r="P232" s="79">
        <f t="shared" si="219"/>
        <v>19.507599297892721</v>
      </c>
    </row>
    <row r="233" spans="2:16" ht="14.25" customHeight="1" x14ac:dyDescent="0.3">
      <c r="C233" s="4" t="str">
        <f t="shared" si="180"/>
        <v>Muelle 5 y área de respaldo</v>
      </c>
      <c r="D233" s="6" t="s">
        <v>41</v>
      </c>
      <c r="E233" s="6" t="s">
        <v>17</v>
      </c>
      <c r="F233" s="79">
        <f t="shared" ref="F233:F294" si="220">+AVERAGEIF(H233:P233,no_cero)</f>
        <v>18.829120894119253</v>
      </c>
      <c r="H233" s="79">
        <f t="shared" ref="H233:P233" si="221">+(H$7*G$181+H56*H$181-(H$181-G$181))/(1-IR)</f>
        <v>11.895511967567895</v>
      </c>
      <c r="I233" s="79">
        <f t="shared" si="221"/>
        <v>15.050956902253889</v>
      </c>
      <c r="J233" s="79">
        <f t="shared" si="221"/>
        <v>23.580317165479933</v>
      </c>
      <c r="K233" s="79">
        <f t="shared" si="221"/>
        <v>24.37056586504718</v>
      </c>
      <c r="L233" s="79">
        <f t="shared" si="221"/>
        <v>29.131388396388186</v>
      </c>
      <c r="M233" s="79">
        <f t="shared" si="221"/>
        <v>20.934050102881354</v>
      </c>
      <c r="N233" s="79">
        <f t="shared" si="221"/>
        <v>10.364693190037848</v>
      </c>
      <c r="O233" s="79">
        <f t="shared" si="221"/>
        <v>14.287996165683325</v>
      </c>
      <c r="P233" s="79">
        <f t="shared" si="221"/>
        <v>19.846608291733666</v>
      </c>
    </row>
    <row r="234" spans="2:16" ht="14.25" customHeight="1" x14ac:dyDescent="0.3">
      <c r="C234" s="4" t="str">
        <f t="shared" si="180"/>
        <v>Muelle 5 (dragado) - Entrega 1</v>
      </c>
      <c r="D234" s="6" t="s">
        <v>41</v>
      </c>
      <c r="E234" s="6" t="s">
        <v>17</v>
      </c>
      <c r="F234" s="79">
        <f t="shared" si="220"/>
        <v>18.485958234504995</v>
      </c>
      <c r="H234" s="79">
        <f t="shared" ref="H234:P234" si="222">+(H$7*G$181+H57*H$181-(H$181-G$181))/(1-IR)</f>
        <v>11.538078322030199</v>
      </c>
      <c r="I234" s="79">
        <f t="shared" si="222"/>
        <v>14.682647137256042</v>
      </c>
      <c r="J234" s="79">
        <f t="shared" si="222"/>
        <v>23.219295595419762</v>
      </c>
      <c r="K234" s="79">
        <f t="shared" si="222"/>
        <v>24.020731070386162</v>
      </c>
      <c r="L234" s="79">
        <f t="shared" si="222"/>
        <v>28.807787050886596</v>
      </c>
      <c r="M234" s="79">
        <f t="shared" si="222"/>
        <v>20.619290419116894</v>
      </c>
      <c r="N234" s="79">
        <f t="shared" si="222"/>
        <v>10.03242600245291</v>
      </c>
      <c r="O234" s="79">
        <f t="shared" si="222"/>
        <v>13.945769215103709</v>
      </c>
      <c r="P234" s="79">
        <f t="shared" si="222"/>
        <v>19.507599297892721</v>
      </c>
    </row>
    <row r="235" spans="2:16" ht="14.25" customHeight="1" x14ac:dyDescent="0.3">
      <c r="C235" s="4" t="str">
        <f t="shared" si="180"/>
        <v>Muelle 5 (dragado) - Entrega 2</v>
      </c>
      <c r="D235" s="6" t="s">
        <v>41</v>
      </c>
      <c r="E235" s="6" t="s">
        <v>17</v>
      </c>
      <c r="F235" s="79">
        <f t="shared" si="220"/>
        <v>18.829120894119253</v>
      </c>
      <c r="H235" s="79">
        <f t="shared" ref="H235:P235" si="223">+(H$7*G$181+H58*H$181-(H$181-G$181))/(1-IR)</f>
        <v>11.895511967567895</v>
      </c>
      <c r="I235" s="79">
        <f t="shared" si="223"/>
        <v>15.050956902253889</v>
      </c>
      <c r="J235" s="79">
        <f t="shared" si="223"/>
        <v>23.580317165479933</v>
      </c>
      <c r="K235" s="79">
        <f t="shared" si="223"/>
        <v>24.37056586504718</v>
      </c>
      <c r="L235" s="79">
        <f t="shared" si="223"/>
        <v>29.131388396388186</v>
      </c>
      <c r="M235" s="79">
        <f t="shared" si="223"/>
        <v>20.934050102881354</v>
      </c>
      <c r="N235" s="79">
        <f t="shared" si="223"/>
        <v>10.364693190037848</v>
      </c>
      <c r="O235" s="79">
        <f t="shared" si="223"/>
        <v>14.287996165683325</v>
      </c>
      <c r="P235" s="79">
        <f t="shared" si="223"/>
        <v>19.846608291733666</v>
      </c>
    </row>
    <row r="236" spans="2:16" ht="14.25" customHeight="1" x14ac:dyDescent="0.3">
      <c r="C236" s="4" t="str">
        <f t="shared" si="180"/>
        <v xml:space="preserve">Edificio administrativo </v>
      </c>
      <c r="D236" s="6" t="s">
        <v>41</v>
      </c>
      <c r="E236" s="6" t="s">
        <v>17</v>
      </c>
      <c r="F236" s="79">
        <f t="shared" si="220"/>
        <v>18.505473060027626</v>
      </c>
      <c r="H236" s="79">
        <f t="shared" ref="H236:P236" si="224">+(H$7*G$181+H59*H$181-(H$181-G$181))/(1-IR)</f>
        <v>11.55840470380037</v>
      </c>
      <c r="I236" s="79">
        <f t="shared" si="224"/>
        <v>14.703592017477842</v>
      </c>
      <c r="J236" s="79">
        <f t="shared" si="224"/>
        <v>23.239826013727949</v>
      </c>
      <c r="K236" s="79">
        <f t="shared" si="224"/>
        <v>24.040625323995307</v>
      </c>
      <c r="L236" s="79">
        <f t="shared" si="224"/>
        <v>28.826189472069164</v>
      </c>
      <c r="M236" s="79">
        <f t="shared" si="224"/>
        <v>20.637190036508617</v>
      </c>
      <c r="N236" s="79">
        <f t="shared" si="224"/>
        <v>10.051321228990391</v>
      </c>
      <c r="O236" s="79">
        <f t="shared" si="224"/>
        <v>13.965230829130162</v>
      </c>
      <c r="P236" s="79">
        <f t="shared" si="224"/>
        <v>19.526877914548873</v>
      </c>
    </row>
    <row r="237" spans="2:16" ht="14.25" customHeight="1" x14ac:dyDescent="0.3">
      <c r="C237" s="4" t="str">
        <f t="shared" si="180"/>
        <v>Edif. Administrativo (instalación)</v>
      </c>
      <c r="D237" s="6" t="s">
        <v>41</v>
      </c>
      <c r="E237" s="6" t="s">
        <v>17</v>
      </c>
      <c r="F237" s="79">
        <f t="shared" si="220"/>
        <v>18.82975112595075</v>
      </c>
      <c r="H237" s="79">
        <f t="shared" ref="H237:P237" si="225">+(H$7*G$181+H60*H$181-(H$181-G$181))/(1-IR)</f>
        <v>11.896168408630912</v>
      </c>
      <c r="I237" s="79">
        <f t="shared" si="225"/>
        <v>15.051633317741555</v>
      </c>
      <c r="J237" s="79">
        <f t="shared" si="225"/>
        <v>23.580980195908605</v>
      </c>
      <c r="K237" s="79">
        <f t="shared" si="225"/>
        <v>24.371208350519247</v>
      </c>
      <c r="L237" s="79">
        <f t="shared" si="225"/>
        <v>29.131982703090664</v>
      </c>
      <c r="M237" s="79">
        <f t="shared" si="225"/>
        <v>20.93462817152146</v>
      </c>
      <c r="N237" s="79">
        <f t="shared" si="225"/>
        <v>10.365303411902932</v>
      </c>
      <c r="O237" s="79">
        <f t="shared" si="225"/>
        <v>14.288624679048072</v>
      </c>
      <c r="P237" s="79">
        <f t="shared" si="225"/>
        <v>19.847230895193263</v>
      </c>
    </row>
    <row r="238" spans="2:16" ht="14.25" customHeight="1" x14ac:dyDescent="0.3">
      <c r="C238" s="4" t="str">
        <f t="shared" si="180"/>
        <v>Edificio administrativo (CCTV seguridad-Hardware)</v>
      </c>
      <c r="D238" s="6" t="s">
        <v>41</v>
      </c>
      <c r="E238" s="6" t="s">
        <v>17</v>
      </c>
      <c r="F238" s="79">
        <f t="shared" si="220"/>
        <v>58.930292319879058</v>
      </c>
      <c r="H238" s="79">
        <f t="shared" ref="H238:P238" si="226">+(H$7*G$181+H61*H$181-(H$181-G$181))/(1-IR)</f>
        <v>53.66435683301323</v>
      </c>
      <c r="I238" s="79">
        <f t="shared" si="226"/>
        <v>58.090759194736549</v>
      </c>
      <c r="J238" s="79">
        <f t="shared" si="226"/>
        <v>65.768438348751815</v>
      </c>
      <c r="K238" s="79">
        <f t="shared" si="226"/>
        <v>65.25142710783652</v>
      </c>
      <c r="L238" s="79">
        <f t="shared" si="226"/>
        <v>66.946671225099649</v>
      </c>
      <c r="M238" s="79">
        <f t="shared" si="226"/>
        <v>57.716117390578525</v>
      </c>
      <c r="N238" s="79">
        <f t="shared" si="226"/>
        <v>49.192645693601236</v>
      </c>
      <c r="O238" s="79">
        <f t="shared" si="226"/>
        <v>54.279822861323339</v>
      </c>
      <c r="P238" s="79">
        <f t="shared" si="226"/>
        <v>59.462392223970618</v>
      </c>
    </row>
    <row r="239" spans="2:16" ht="14.25" customHeight="1" x14ac:dyDescent="0.3">
      <c r="C239" s="4" t="str">
        <f t="shared" si="180"/>
        <v>Edificio administrativo (Cableado-Hardware)</v>
      </c>
      <c r="D239" s="6" t="s">
        <v>41</v>
      </c>
      <c r="E239" s="6" t="s">
        <v>17</v>
      </c>
      <c r="F239" s="79">
        <f t="shared" si="220"/>
        <v>20.070164438051535</v>
      </c>
      <c r="H239" s="79">
        <f t="shared" ref="H239:P239" si="227">+(H$7*G$181+H62*H$181-(H$181-G$181))/(1-IR)</f>
        <v>13.188166356822753</v>
      </c>
      <c r="I239" s="79">
        <f t="shared" si="227"/>
        <v>16.382944643961</v>
      </c>
      <c r="J239" s="79">
        <f t="shared" si="227"/>
        <v>24.885947239705139</v>
      </c>
      <c r="K239" s="79">
        <f t="shared" si="227"/>
        <v>25.635739103432044</v>
      </c>
      <c r="L239" s="79">
        <f t="shared" si="227"/>
        <v>30.301688688074901</v>
      </c>
      <c r="M239" s="79">
        <f t="shared" si="227"/>
        <v>22.072374633484873</v>
      </c>
      <c r="N239" s="79">
        <f t="shared" si="227"/>
        <v>11.566333393189186</v>
      </c>
      <c r="O239" s="79">
        <f t="shared" si="227"/>
        <v>15.525655729383773</v>
      </c>
      <c r="P239" s="79">
        <f t="shared" si="227"/>
        <v>21.072630154410145</v>
      </c>
    </row>
    <row r="240" spans="2:16" ht="14.25" customHeight="1" x14ac:dyDescent="0.3">
      <c r="C240" s="4" t="str">
        <f t="shared" si="180"/>
        <v>Edificio administrativo (muebles y enseres)</v>
      </c>
      <c r="D240" s="6" t="s">
        <v>41</v>
      </c>
      <c r="E240" s="6" t="s">
        <v>17</v>
      </c>
      <c r="F240" s="79">
        <f t="shared" si="220"/>
        <v>32.805836601003413</v>
      </c>
      <c r="H240" s="79">
        <f t="shared" ref="H240:P240" si="228">+(H$7*G$181+H63*H$181-(H$181-G$181))/(1-IR)</f>
        <v>26.453472479271731</v>
      </c>
      <c r="I240" s="79">
        <f t="shared" si="228"/>
        <v>30.051892269845421</v>
      </c>
      <c r="J240" s="79">
        <f t="shared" si="228"/>
        <v>38.284410712417916</v>
      </c>
      <c r="K240" s="79">
        <f t="shared" si="228"/>
        <v>38.619031810757882</v>
      </c>
      <c r="L240" s="79">
        <f t="shared" si="228"/>
        <v>42.311388847267885</v>
      </c>
      <c r="M240" s="79">
        <f t="shared" si="228"/>
        <v>33.753937385809678</v>
      </c>
      <c r="N240" s="79">
        <f t="shared" si="228"/>
        <v>23.897645827778007</v>
      </c>
      <c r="O240" s="79">
        <f t="shared" si="228"/>
        <v>28.226601260019425</v>
      </c>
      <c r="P240" s="79">
        <f t="shared" si="228"/>
        <v>33.654148815862733</v>
      </c>
    </row>
    <row r="241" spans="3:16" ht="14.25" customHeight="1" x14ac:dyDescent="0.3">
      <c r="C241" s="4" t="str">
        <f t="shared" si="180"/>
        <v>Muelle 11 (incluye área de respaldo)</v>
      </c>
      <c r="D241" s="6" t="s">
        <v>41</v>
      </c>
      <c r="E241" s="6" t="s">
        <v>17</v>
      </c>
      <c r="F241" s="79">
        <f t="shared" si="220"/>
        <v>18.648588662568304</v>
      </c>
      <c r="H241" s="79">
        <f t="shared" ref="H241:P241" si="229">+(H$7*G$181+H64*H$181-(H$181-G$181))/(1-IR)</f>
        <v>11.707472005024048</v>
      </c>
      <c r="I241" s="79">
        <f t="shared" si="229"/>
        <v>14.857195192131321</v>
      </c>
      <c r="J241" s="79">
        <f t="shared" si="229"/>
        <v>23.390389654852015</v>
      </c>
      <c r="K241" s="79">
        <f t="shared" si="229"/>
        <v>24.186523532978434</v>
      </c>
      <c r="L241" s="79">
        <f t="shared" si="229"/>
        <v>28.961147050485451</v>
      </c>
      <c r="M241" s="79">
        <f t="shared" si="229"/>
        <v>20.768460209808065</v>
      </c>
      <c r="N241" s="79">
        <f t="shared" si="229"/>
        <v>10.189892887133984</v>
      </c>
      <c r="O241" s="79">
        <f t="shared" si="229"/>
        <v>14.107956195266777</v>
      </c>
      <c r="P241" s="79">
        <f t="shared" si="229"/>
        <v>19.668261235434638</v>
      </c>
    </row>
    <row r="242" spans="3:16" ht="14.25" customHeight="1" x14ac:dyDescent="0.3">
      <c r="C242" s="4" t="str">
        <f t="shared" si="180"/>
        <v>Muelle 11 (dragado)</v>
      </c>
      <c r="D242" s="6" t="s">
        <v>41</v>
      </c>
      <c r="E242" s="6" t="s">
        <v>17</v>
      </c>
      <c r="F242" s="79">
        <f t="shared" si="220"/>
        <v>18.648588662568304</v>
      </c>
      <c r="H242" s="79">
        <f t="shared" ref="H242:P242" si="230">+(H$7*G$181+H65*H$181-(H$181-G$181))/(1-IR)</f>
        <v>11.707472005024048</v>
      </c>
      <c r="I242" s="79">
        <f t="shared" si="230"/>
        <v>14.857195192131321</v>
      </c>
      <c r="J242" s="79">
        <f t="shared" si="230"/>
        <v>23.390389654852015</v>
      </c>
      <c r="K242" s="79">
        <f t="shared" si="230"/>
        <v>24.186523532978434</v>
      </c>
      <c r="L242" s="79">
        <f t="shared" si="230"/>
        <v>28.961147050485451</v>
      </c>
      <c r="M242" s="79">
        <f t="shared" si="230"/>
        <v>20.768460209808065</v>
      </c>
      <c r="N242" s="79">
        <f t="shared" si="230"/>
        <v>10.189892887133984</v>
      </c>
      <c r="O242" s="79">
        <f t="shared" si="230"/>
        <v>14.107956195266777</v>
      </c>
      <c r="P242" s="79">
        <f t="shared" si="230"/>
        <v>19.668261235434638</v>
      </c>
    </row>
    <row r="243" spans="3:16" ht="14.25" customHeight="1" x14ac:dyDescent="0.3">
      <c r="C243" s="4" t="str">
        <f t="shared" si="180"/>
        <v>Edificio amenidades</v>
      </c>
      <c r="D243" s="6" t="s">
        <v>41</v>
      </c>
      <c r="E243" s="6" t="s">
        <v>17</v>
      </c>
      <c r="F243" s="79">
        <f t="shared" si="220"/>
        <v>18.618065297895214</v>
      </c>
      <c r="H243" s="79">
        <f t="shared" ref="H243:P243" si="231">+(H$7*G$181+H66*H$181-(H$181-G$181))/(1-IR)</f>
        <v>11.675679275822555</v>
      </c>
      <c r="I243" s="79">
        <f t="shared" si="231"/>
        <v>14.824435062336525</v>
      </c>
      <c r="J243" s="79">
        <f t="shared" si="231"/>
        <v>23.358277789737713</v>
      </c>
      <c r="K243" s="79">
        <f t="shared" si="231"/>
        <v>24.155406700439663</v>
      </c>
      <c r="L243" s="79">
        <f t="shared" si="231"/>
        <v>28.932363610327506</v>
      </c>
      <c r="M243" s="79">
        <f t="shared" si="231"/>
        <v>20.740463210884204</v>
      </c>
      <c r="N243" s="79">
        <f t="shared" si="231"/>
        <v>10.160338644411427</v>
      </c>
      <c r="O243" s="79">
        <f t="shared" si="231"/>
        <v>14.077516059311295</v>
      </c>
      <c r="P243" s="79">
        <f t="shared" si="231"/>
        <v>19.63810732778601</v>
      </c>
    </row>
    <row r="244" spans="3:16" ht="14.25" customHeight="1" x14ac:dyDescent="0.3">
      <c r="C244" s="4" t="str">
        <f t="shared" si="180"/>
        <v>Silo</v>
      </c>
      <c r="D244" s="6" t="s">
        <v>41</v>
      </c>
      <c r="E244" s="6" t="s">
        <v>17</v>
      </c>
      <c r="F244" s="79">
        <f t="shared" si="220"/>
        <v>18.698630512810563</v>
      </c>
      <c r="H244" s="79">
        <f t="shared" ref="H244:P244" si="232">+(H$7*G$181+H67*H$181-(H$181-G$181))/(1-IR)</f>
        <v>11.759594928251325</v>
      </c>
      <c r="I244" s="79">
        <f t="shared" si="232"/>
        <v>14.910904130404214</v>
      </c>
      <c r="J244" s="79">
        <f t="shared" si="232"/>
        <v>23.443035788797609</v>
      </c>
      <c r="K244" s="79">
        <f t="shared" si="232"/>
        <v>24.237538350335413</v>
      </c>
      <c r="L244" s="79">
        <f t="shared" si="232"/>
        <v>29.008336363238733</v>
      </c>
      <c r="M244" s="79">
        <f t="shared" si="232"/>
        <v>20.814360183234513</v>
      </c>
      <c r="N244" s="79">
        <f t="shared" si="232"/>
        <v>10.238345900233465</v>
      </c>
      <c r="O244" s="79">
        <f t="shared" si="232"/>
        <v>14.157861595315316</v>
      </c>
      <c r="P244" s="79">
        <f t="shared" si="232"/>
        <v>19.71769737548448</v>
      </c>
    </row>
    <row r="245" spans="3:16" ht="14.25" customHeight="1" x14ac:dyDescent="0.3">
      <c r="C245" s="4" t="str">
        <f t="shared" si="180"/>
        <v>Nuevo Gate</v>
      </c>
      <c r="D245" s="6" t="s">
        <v>41</v>
      </c>
      <c r="E245" s="6" t="s">
        <v>17</v>
      </c>
      <c r="F245" s="79">
        <f t="shared" si="220"/>
        <v>18.650950897810333</v>
      </c>
      <c r="H245" s="79">
        <f t="shared" ref="H245:P245" si="233">+(H$7*G$181+H68*H$181-(H$181-G$181))/(1-IR)</f>
        <v>11.709932477719782</v>
      </c>
      <c r="I245" s="79">
        <f t="shared" si="233"/>
        <v>14.859730532974755</v>
      </c>
      <c r="J245" s="79">
        <f t="shared" si="233"/>
        <v>23.392874825811145</v>
      </c>
      <c r="K245" s="79">
        <f t="shared" si="233"/>
        <v>24.188931697321731</v>
      </c>
      <c r="L245" s="79">
        <f t="shared" si="233"/>
        <v>28.963374631142308</v>
      </c>
      <c r="M245" s="79">
        <f t="shared" si="233"/>
        <v>20.77062692695204</v>
      </c>
      <c r="N245" s="79">
        <f t="shared" si="233"/>
        <v>10.19218012101067</v>
      </c>
      <c r="O245" s="79">
        <f t="shared" si="233"/>
        <v>14.11031198935096</v>
      </c>
      <c r="P245" s="79">
        <f t="shared" si="233"/>
        <v>19.670594878009609</v>
      </c>
    </row>
    <row r="246" spans="3:16" ht="14.25" customHeight="1" x14ac:dyDescent="0.3">
      <c r="C246" s="4" t="str">
        <f t="shared" si="180"/>
        <v xml:space="preserve">Pavimento reefer </v>
      </c>
      <c r="D246" s="6" t="s">
        <v>41</v>
      </c>
      <c r="E246" s="6" t="s">
        <v>17</v>
      </c>
      <c r="F246" s="79">
        <f t="shared" si="220"/>
        <v>21.784581844602751</v>
      </c>
      <c r="H246" s="79">
        <f t="shared" ref="H246:P246" si="234">+(H$7*G$181+H69*H$181-(H$181-G$181))/(1-IR)</f>
        <v>14.97388064253704</v>
      </c>
      <c r="I246" s="79">
        <f t="shared" si="234"/>
        <v>18.222995285906979</v>
      </c>
      <c r="J246" s="79">
        <f t="shared" si="234"/>
        <v>26.689586553339552</v>
      </c>
      <c r="K246" s="79">
        <f t="shared" si="234"/>
        <v>27.383490044802834</v>
      </c>
      <c r="L246" s="79">
        <f t="shared" si="234"/>
        <v>31.918379094120112</v>
      </c>
      <c r="M246" s="79">
        <f t="shared" si="234"/>
        <v>23.644892696297831</v>
      </c>
      <c r="N246" s="79">
        <f t="shared" si="234"/>
        <v>13.226317759383836</v>
      </c>
      <c r="O246" s="79">
        <f t="shared" si="234"/>
        <v>17.235398396969341</v>
      </c>
      <c r="P246" s="79">
        <f t="shared" si="234"/>
        <v>22.766296128067225</v>
      </c>
    </row>
    <row r="247" spans="3:16" ht="14.25" customHeight="1" x14ac:dyDescent="0.3">
      <c r="C247" s="4" t="str">
        <f t="shared" si="180"/>
        <v>Reefer rack</v>
      </c>
      <c r="D247" s="6" t="s">
        <v>41</v>
      </c>
      <c r="E247" s="6" t="s">
        <v>17</v>
      </c>
      <c r="F247" s="79">
        <f t="shared" si="220"/>
        <v>20.070164438051535</v>
      </c>
      <c r="H247" s="79">
        <f t="shared" ref="H247:P247" si="235">+(H$7*G$181+H70*H$181-(H$181-G$181))/(1-IR)</f>
        <v>13.188166356822753</v>
      </c>
      <c r="I247" s="79">
        <f t="shared" si="235"/>
        <v>16.382944643961</v>
      </c>
      <c r="J247" s="79">
        <f t="shared" si="235"/>
        <v>24.885947239705139</v>
      </c>
      <c r="K247" s="79">
        <f t="shared" si="235"/>
        <v>25.635739103432044</v>
      </c>
      <c r="L247" s="79">
        <f t="shared" si="235"/>
        <v>30.301688688074901</v>
      </c>
      <c r="M247" s="79">
        <f t="shared" si="235"/>
        <v>22.072374633484873</v>
      </c>
      <c r="N247" s="79">
        <f t="shared" si="235"/>
        <v>11.566333393189186</v>
      </c>
      <c r="O247" s="79">
        <f t="shared" si="235"/>
        <v>15.525655729383773</v>
      </c>
      <c r="P247" s="79">
        <f t="shared" si="235"/>
        <v>21.072630154410145</v>
      </c>
    </row>
    <row r="248" spans="3:16" ht="14.25" customHeight="1" x14ac:dyDescent="0.3">
      <c r="C248" s="4" t="str">
        <f t="shared" si="180"/>
        <v>Taller de mantenimiento</v>
      </c>
      <c r="D248" s="6" t="s">
        <v>41</v>
      </c>
      <c r="E248" s="6" t="s">
        <v>17</v>
      </c>
      <c r="F248" s="79">
        <f t="shared" si="220"/>
        <v>18.829120894119253</v>
      </c>
      <c r="H248" s="79">
        <f t="shared" ref="H248:P248" si="236">+(H$7*G$181+H71*H$181-(H$181-G$181))/(1-IR)</f>
        <v>11.895511967567895</v>
      </c>
      <c r="I248" s="79">
        <f t="shared" si="236"/>
        <v>15.050956902253889</v>
      </c>
      <c r="J248" s="79">
        <f t="shared" si="236"/>
        <v>23.580317165479933</v>
      </c>
      <c r="K248" s="79">
        <f t="shared" si="236"/>
        <v>24.37056586504718</v>
      </c>
      <c r="L248" s="79">
        <f t="shared" si="236"/>
        <v>29.131388396388186</v>
      </c>
      <c r="M248" s="79">
        <f t="shared" si="236"/>
        <v>20.934050102881354</v>
      </c>
      <c r="N248" s="79">
        <f t="shared" si="236"/>
        <v>10.364693190037848</v>
      </c>
      <c r="O248" s="79">
        <f t="shared" si="236"/>
        <v>14.287996165683325</v>
      </c>
      <c r="P248" s="79">
        <f t="shared" si="236"/>
        <v>19.846608291733666</v>
      </c>
    </row>
    <row r="249" spans="3:16" ht="14.25" customHeight="1" x14ac:dyDescent="0.3">
      <c r="C249" s="4" t="str">
        <f t="shared" si="180"/>
        <v>Pavimento carga general</v>
      </c>
      <c r="D249" s="6" t="s">
        <v>41</v>
      </c>
      <c r="E249" s="6" t="s">
        <v>17</v>
      </c>
      <c r="F249" s="79">
        <f t="shared" si="220"/>
        <v>20.070164438051535</v>
      </c>
      <c r="H249" s="79">
        <f t="shared" ref="H249:P249" si="237">+(H$7*G$181+H72*H$181-(H$181-G$181))/(1-IR)</f>
        <v>13.188166356822753</v>
      </c>
      <c r="I249" s="79">
        <f t="shared" si="237"/>
        <v>16.382944643961</v>
      </c>
      <c r="J249" s="79">
        <f t="shared" si="237"/>
        <v>24.885947239705139</v>
      </c>
      <c r="K249" s="79">
        <f t="shared" si="237"/>
        <v>25.635739103432044</v>
      </c>
      <c r="L249" s="79">
        <f t="shared" si="237"/>
        <v>30.301688688074901</v>
      </c>
      <c r="M249" s="79">
        <f t="shared" si="237"/>
        <v>22.072374633484873</v>
      </c>
      <c r="N249" s="79">
        <f t="shared" si="237"/>
        <v>11.566333393189186</v>
      </c>
      <c r="O249" s="79">
        <f t="shared" si="237"/>
        <v>15.525655729383773</v>
      </c>
      <c r="P249" s="79">
        <f t="shared" si="237"/>
        <v>21.072630154410145</v>
      </c>
    </row>
    <row r="250" spans="3:16" ht="14.25" customHeight="1" x14ac:dyDescent="0.3">
      <c r="C250" s="4" t="str">
        <f t="shared" si="180"/>
        <v>Sub-estación eléctrica</v>
      </c>
      <c r="D250" s="6" t="s">
        <v>41</v>
      </c>
      <c r="E250" s="6" t="s">
        <v>17</v>
      </c>
      <c r="F250" s="79">
        <f t="shared" si="220"/>
        <v>20.070164438051535</v>
      </c>
      <c r="H250" s="79">
        <f t="shared" ref="H250:P250" si="238">+(H$7*G$181+H73*H$181-(H$181-G$181))/(1-IR)</f>
        <v>13.188166356822753</v>
      </c>
      <c r="I250" s="79">
        <f t="shared" si="238"/>
        <v>16.382944643961</v>
      </c>
      <c r="J250" s="79">
        <f t="shared" si="238"/>
        <v>24.885947239705139</v>
      </c>
      <c r="K250" s="79">
        <f t="shared" si="238"/>
        <v>25.635739103432044</v>
      </c>
      <c r="L250" s="79">
        <f t="shared" si="238"/>
        <v>30.301688688074901</v>
      </c>
      <c r="M250" s="79">
        <f t="shared" si="238"/>
        <v>22.072374633484873</v>
      </c>
      <c r="N250" s="79">
        <f t="shared" si="238"/>
        <v>11.566333393189186</v>
      </c>
      <c r="O250" s="79">
        <f t="shared" si="238"/>
        <v>15.525655729383773</v>
      </c>
      <c r="P250" s="79">
        <f t="shared" si="238"/>
        <v>21.072630154410145</v>
      </c>
    </row>
    <row r="251" spans="3:16" ht="14.25" customHeight="1" x14ac:dyDescent="0.3">
      <c r="C251" s="4" t="str">
        <f t="shared" si="180"/>
        <v>Cierre construcción Fases 1&amp;2 (JJCC)</v>
      </c>
      <c r="D251" s="6" t="s">
        <v>41</v>
      </c>
      <c r="E251" s="6" t="s">
        <v>17</v>
      </c>
      <c r="F251" s="79">
        <f t="shared" si="220"/>
        <v>18.865909636385972</v>
      </c>
      <c r="H251" s="79">
        <f t="shared" ref="H251:P251" si="239">+(H$7*G$181+H74*H$181-(H$181-G$181))/(1-IR)</f>
        <v>11.933830630437338</v>
      </c>
      <c r="I251" s="79">
        <f t="shared" si="239"/>
        <v>15.090441539172291</v>
      </c>
      <c r="J251" s="79">
        <f t="shared" si="239"/>
        <v>23.619020471686387</v>
      </c>
      <c r="K251" s="79">
        <f t="shared" si="239"/>
        <v>24.408069893344376</v>
      </c>
      <c r="L251" s="79">
        <f t="shared" si="239"/>
        <v>29.166080068582954</v>
      </c>
      <c r="M251" s="79">
        <f t="shared" si="239"/>
        <v>20.967793905004175</v>
      </c>
      <c r="N251" s="79">
        <f t="shared" si="239"/>
        <v>10.400313883564035</v>
      </c>
      <c r="O251" s="79">
        <f t="shared" si="239"/>
        <v>14.324684595292045</v>
      </c>
      <c r="P251" s="79">
        <f t="shared" si="239"/>
        <v>19.882951740390155</v>
      </c>
    </row>
    <row r="252" spans="3:16" ht="14.25" customHeight="1" x14ac:dyDescent="0.3">
      <c r="C252" s="4" t="str">
        <f t="shared" si="180"/>
        <v>Pre-adjudicación (Proinversión y otros)</v>
      </c>
      <c r="D252" s="6" t="s">
        <v>41</v>
      </c>
      <c r="E252" s="6" t="s">
        <v>17</v>
      </c>
      <c r="F252" s="79">
        <f t="shared" si="220"/>
        <v>17.784274562649916</v>
      </c>
      <c r="H252" s="79">
        <f t="shared" ref="H252:P252" si="240">+(H$7*G$181+H75*H$181-(H$181-G$181))/(1-IR)</f>
        <v>10.807213975870374</v>
      </c>
      <c r="I252" s="79">
        <f t="shared" si="240"/>
        <v>13.929543788033026</v>
      </c>
      <c r="J252" s="79">
        <f t="shared" si="240"/>
        <v>22.481094821525922</v>
      </c>
      <c r="K252" s="79">
        <f t="shared" si="240"/>
        <v>23.305404514937663</v>
      </c>
      <c r="L252" s="79">
        <f t="shared" si="240"/>
        <v>28.146101480014622</v>
      </c>
      <c r="M252" s="79">
        <f t="shared" si="240"/>
        <v>19.975683883067603</v>
      </c>
      <c r="N252" s="79">
        <f t="shared" si="240"/>
        <v>9.3530209049296538</v>
      </c>
      <c r="O252" s="79">
        <f t="shared" si="240"/>
        <v>13.245998839269678</v>
      </c>
      <c r="P252" s="79">
        <f t="shared" si="240"/>
        <v>18.814408856200707</v>
      </c>
    </row>
    <row r="253" spans="3:16" ht="14.25" customHeight="1" x14ac:dyDescent="0.3">
      <c r="C253" s="4" t="str">
        <f t="shared" si="180"/>
        <v>Pre-operativo (implementación)</v>
      </c>
      <c r="D253" s="6" t="s">
        <v>41</v>
      </c>
      <c r="E253" s="6" t="s">
        <v>17</v>
      </c>
      <c r="F253" s="79">
        <f t="shared" si="220"/>
        <v>17.784274562649916</v>
      </c>
      <c r="H253" s="79">
        <f t="shared" ref="H253:P253" si="241">+(H$7*G$181+H76*H$181-(H$181-G$181))/(1-IR)</f>
        <v>10.807213975870374</v>
      </c>
      <c r="I253" s="79">
        <f t="shared" si="241"/>
        <v>13.929543788033026</v>
      </c>
      <c r="J253" s="79">
        <f t="shared" si="241"/>
        <v>22.481094821525922</v>
      </c>
      <c r="K253" s="79">
        <f t="shared" si="241"/>
        <v>23.305404514937663</v>
      </c>
      <c r="L253" s="79">
        <f t="shared" si="241"/>
        <v>28.146101480014622</v>
      </c>
      <c r="M253" s="79">
        <f t="shared" si="241"/>
        <v>19.975683883067603</v>
      </c>
      <c r="N253" s="79">
        <f t="shared" si="241"/>
        <v>9.3530209049296538</v>
      </c>
      <c r="O253" s="79">
        <f t="shared" si="241"/>
        <v>13.245998839269678</v>
      </c>
      <c r="P253" s="79">
        <f t="shared" si="241"/>
        <v>18.814408856200707</v>
      </c>
    </row>
    <row r="254" spans="3:16" ht="14.25" customHeight="1" x14ac:dyDescent="0.3">
      <c r="C254" s="4" t="str">
        <f t="shared" si="180"/>
        <v>Licencia</v>
      </c>
      <c r="D254" s="6" t="s">
        <v>41</v>
      </c>
      <c r="E254" s="6" t="s">
        <v>17</v>
      </c>
      <c r="F254" s="79">
        <f t="shared" si="220"/>
        <v>58.930292319879058</v>
      </c>
      <c r="H254" s="79">
        <f t="shared" ref="H254:P254" si="242">+(H$7*G$181+H77*H$181-(H$181-G$181))/(1-IR)</f>
        <v>53.66435683301323</v>
      </c>
      <c r="I254" s="79">
        <f t="shared" si="242"/>
        <v>58.090759194736549</v>
      </c>
      <c r="J254" s="79">
        <f t="shared" si="242"/>
        <v>65.768438348751815</v>
      </c>
      <c r="K254" s="79">
        <f t="shared" si="242"/>
        <v>65.25142710783652</v>
      </c>
      <c r="L254" s="79">
        <f t="shared" si="242"/>
        <v>66.946671225099649</v>
      </c>
      <c r="M254" s="79">
        <f t="shared" si="242"/>
        <v>57.716117390578525</v>
      </c>
      <c r="N254" s="79">
        <f t="shared" si="242"/>
        <v>49.192645693601236</v>
      </c>
      <c r="O254" s="79">
        <f t="shared" si="242"/>
        <v>54.279822861323339</v>
      </c>
      <c r="P254" s="79">
        <f t="shared" si="242"/>
        <v>59.462392223970618</v>
      </c>
    </row>
    <row r="255" spans="3:16" ht="14.25" customHeight="1" x14ac:dyDescent="0.3">
      <c r="C255" s="4" t="str">
        <f t="shared" si="180"/>
        <v>Hardware</v>
      </c>
      <c r="D255" s="6" t="s">
        <v>41</v>
      </c>
      <c r="E255" s="6" t="s">
        <v>17</v>
      </c>
      <c r="F255" s="79">
        <f t="shared" si="220"/>
        <v>58.930292319879058</v>
      </c>
      <c r="H255" s="79">
        <f t="shared" ref="H255:P255" si="243">+(H$7*G$181+H78*H$181-(H$181-G$181))/(1-IR)</f>
        <v>53.66435683301323</v>
      </c>
      <c r="I255" s="79">
        <f t="shared" si="243"/>
        <v>58.090759194736549</v>
      </c>
      <c r="J255" s="79">
        <f t="shared" si="243"/>
        <v>65.768438348751815</v>
      </c>
      <c r="K255" s="79">
        <f t="shared" si="243"/>
        <v>65.25142710783652</v>
      </c>
      <c r="L255" s="79">
        <f t="shared" si="243"/>
        <v>66.946671225099649</v>
      </c>
      <c r="M255" s="79">
        <f t="shared" si="243"/>
        <v>57.716117390578525</v>
      </c>
      <c r="N255" s="79">
        <f t="shared" si="243"/>
        <v>49.192645693601236</v>
      </c>
      <c r="O255" s="79">
        <f t="shared" si="243"/>
        <v>54.279822861323339</v>
      </c>
      <c r="P255" s="79">
        <f t="shared" si="243"/>
        <v>59.462392223970618</v>
      </c>
    </row>
    <row r="256" spans="3:16" ht="14.25" customHeight="1" x14ac:dyDescent="0.3">
      <c r="C256" s="4" t="str">
        <f t="shared" si="180"/>
        <v>Software</v>
      </c>
      <c r="D256" s="6" t="s">
        <v>41</v>
      </c>
      <c r="E256" s="6" t="s">
        <v>17</v>
      </c>
      <c r="F256" s="79">
        <f t="shared" si="220"/>
        <v>58.930292319879058</v>
      </c>
      <c r="H256" s="79">
        <f t="shared" ref="H256:P256" si="244">+(H$7*G$181+H79*H$181-(H$181-G$181))/(1-IR)</f>
        <v>53.66435683301323</v>
      </c>
      <c r="I256" s="79">
        <f t="shared" si="244"/>
        <v>58.090759194736549</v>
      </c>
      <c r="J256" s="79">
        <f t="shared" si="244"/>
        <v>65.768438348751815</v>
      </c>
      <c r="K256" s="79">
        <f t="shared" si="244"/>
        <v>65.25142710783652</v>
      </c>
      <c r="L256" s="79">
        <f t="shared" si="244"/>
        <v>66.946671225099649</v>
      </c>
      <c r="M256" s="79">
        <f t="shared" si="244"/>
        <v>57.716117390578525</v>
      </c>
      <c r="N256" s="79">
        <f t="shared" si="244"/>
        <v>49.192645693601236</v>
      </c>
      <c r="O256" s="79">
        <f t="shared" si="244"/>
        <v>54.279822861323339</v>
      </c>
      <c r="P256" s="79">
        <f t="shared" si="244"/>
        <v>59.462392223970618</v>
      </c>
    </row>
    <row r="257" spans="3:16" ht="14.25" customHeight="1" x14ac:dyDescent="0.3">
      <c r="C257" s="4" t="str">
        <f t="shared" si="180"/>
        <v>Infraestructura eléctrica</v>
      </c>
      <c r="D257" s="6" t="s">
        <v>41</v>
      </c>
      <c r="E257" s="6" t="s">
        <v>17</v>
      </c>
      <c r="F257" s="79">
        <f t="shared" si="220"/>
        <v>20.070164438051535</v>
      </c>
      <c r="H257" s="79">
        <f t="shared" ref="H257:P257" si="245">+(H$7*G$181+H80*H$181-(H$181-G$181))/(1-IR)</f>
        <v>13.188166356822753</v>
      </c>
      <c r="I257" s="79">
        <f t="shared" si="245"/>
        <v>16.382944643961</v>
      </c>
      <c r="J257" s="79">
        <f t="shared" si="245"/>
        <v>24.885947239705139</v>
      </c>
      <c r="K257" s="79">
        <f t="shared" si="245"/>
        <v>25.635739103432044</v>
      </c>
      <c r="L257" s="79">
        <f t="shared" si="245"/>
        <v>30.301688688074901</v>
      </c>
      <c r="M257" s="79">
        <f t="shared" si="245"/>
        <v>22.072374633484873</v>
      </c>
      <c r="N257" s="79">
        <f t="shared" si="245"/>
        <v>11.566333393189186</v>
      </c>
      <c r="O257" s="79">
        <f t="shared" si="245"/>
        <v>15.525655729383773</v>
      </c>
      <c r="P257" s="79">
        <f t="shared" si="245"/>
        <v>21.072630154410145</v>
      </c>
    </row>
    <row r="258" spans="3:16" ht="14.25" customHeight="1" x14ac:dyDescent="0.3">
      <c r="C258" s="4" t="str">
        <f t="shared" ref="C258:C286" si="246">+C81</f>
        <v>EIA y CIRA</v>
      </c>
      <c r="D258" s="6" t="s">
        <v>41</v>
      </c>
      <c r="E258" s="6" t="s">
        <v>17</v>
      </c>
      <c r="F258" s="79">
        <f t="shared" si="220"/>
        <v>18.82975112595075</v>
      </c>
      <c r="H258" s="79">
        <f t="shared" ref="H258:P258" si="247">+(H$7*G$181+H81*H$181-(H$181-G$181))/(1-IR)</f>
        <v>11.896168408630912</v>
      </c>
      <c r="I258" s="79">
        <f t="shared" si="247"/>
        <v>15.051633317741555</v>
      </c>
      <c r="J258" s="79">
        <f t="shared" si="247"/>
        <v>23.580980195908605</v>
      </c>
      <c r="K258" s="79">
        <f t="shared" si="247"/>
        <v>24.371208350519247</v>
      </c>
      <c r="L258" s="79">
        <f t="shared" si="247"/>
        <v>29.131982703090664</v>
      </c>
      <c r="M258" s="79">
        <f t="shared" si="247"/>
        <v>20.93462817152146</v>
      </c>
      <c r="N258" s="79">
        <f t="shared" si="247"/>
        <v>10.365303411902932</v>
      </c>
      <c r="O258" s="79">
        <f t="shared" si="247"/>
        <v>14.288624679048072</v>
      </c>
      <c r="P258" s="79">
        <f t="shared" si="247"/>
        <v>19.847230895193263</v>
      </c>
    </row>
    <row r="259" spans="3:16" ht="14.25" customHeight="1" x14ac:dyDescent="0.3">
      <c r="C259" s="4" t="str">
        <f t="shared" si="246"/>
        <v>Estudios Terminal (Riesgo Tsunami y Analisis estructural)</v>
      </c>
      <c r="D259" s="6" t="s">
        <v>41</v>
      </c>
      <c r="E259" s="6" t="s">
        <v>17</v>
      </c>
      <c r="F259" s="79">
        <f t="shared" si="220"/>
        <v>18.82975112595075</v>
      </c>
      <c r="H259" s="79">
        <f t="shared" ref="H259:P259" si="248">+(H$7*G$181+H82*H$181-(H$181-G$181))/(1-IR)</f>
        <v>11.896168408630912</v>
      </c>
      <c r="I259" s="79">
        <f t="shared" si="248"/>
        <v>15.051633317741555</v>
      </c>
      <c r="J259" s="79">
        <f t="shared" si="248"/>
        <v>23.580980195908605</v>
      </c>
      <c r="K259" s="79">
        <f t="shared" si="248"/>
        <v>24.371208350519247</v>
      </c>
      <c r="L259" s="79">
        <f t="shared" si="248"/>
        <v>29.131982703090664</v>
      </c>
      <c r="M259" s="79">
        <f t="shared" si="248"/>
        <v>20.93462817152146</v>
      </c>
      <c r="N259" s="79">
        <f t="shared" si="248"/>
        <v>10.365303411902932</v>
      </c>
      <c r="O259" s="79">
        <f t="shared" si="248"/>
        <v>14.288624679048072</v>
      </c>
      <c r="P259" s="79">
        <f t="shared" si="248"/>
        <v>19.847230895193263</v>
      </c>
    </row>
    <row r="260" spans="3:16" ht="14.25" customHeight="1" x14ac:dyDescent="0.3">
      <c r="C260" s="4" t="str">
        <f t="shared" si="246"/>
        <v>Fondo pesquero</v>
      </c>
      <c r="D260" s="6" t="s">
        <v>41</v>
      </c>
      <c r="E260" s="6" t="s">
        <v>17</v>
      </c>
      <c r="F260" s="79">
        <f t="shared" si="220"/>
        <v>18.82975112595075</v>
      </c>
      <c r="H260" s="79">
        <f t="shared" ref="H260:P260" si="249">+(H$7*G$181+H83*H$181-(H$181-G$181))/(1-IR)</f>
        <v>11.896168408630912</v>
      </c>
      <c r="I260" s="79">
        <f t="shared" si="249"/>
        <v>15.051633317741555</v>
      </c>
      <c r="J260" s="79">
        <f t="shared" si="249"/>
        <v>23.580980195908605</v>
      </c>
      <c r="K260" s="79">
        <f t="shared" si="249"/>
        <v>24.371208350519247</v>
      </c>
      <c r="L260" s="79">
        <f t="shared" si="249"/>
        <v>29.131982703090664</v>
      </c>
      <c r="M260" s="79">
        <f t="shared" si="249"/>
        <v>20.93462817152146</v>
      </c>
      <c r="N260" s="79">
        <f t="shared" si="249"/>
        <v>10.365303411902932</v>
      </c>
      <c r="O260" s="79">
        <f t="shared" si="249"/>
        <v>14.288624679048072</v>
      </c>
      <c r="P260" s="79">
        <f t="shared" si="249"/>
        <v>19.847230895193263</v>
      </c>
    </row>
    <row r="261" spans="3:16" ht="14.25" customHeight="1" x14ac:dyDescent="0.3">
      <c r="C261" s="4" t="str">
        <f t="shared" si="246"/>
        <v>Asistencia técnica (hab. urbana, licencias y permisos)</v>
      </c>
      <c r="D261" s="6" t="s">
        <v>41</v>
      </c>
      <c r="E261" s="6" t="s">
        <v>17</v>
      </c>
      <c r="F261" s="79">
        <f t="shared" si="220"/>
        <v>18.82975112595075</v>
      </c>
      <c r="H261" s="79">
        <f t="shared" ref="H261:P261" si="250">+(H$7*G$181+H84*H$181-(H$181-G$181))/(1-IR)</f>
        <v>11.896168408630912</v>
      </c>
      <c r="I261" s="79">
        <f t="shared" si="250"/>
        <v>15.051633317741555</v>
      </c>
      <c r="J261" s="79">
        <f t="shared" si="250"/>
        <v>23.580980195908605</v>
      </c>
      <c r="K261" s="79">
        <f t="shared" si="250"/>
        <v>24.371208350519247</v>
      </c>
      <c r="L261" s="79">
        <f t="shared" si="250"/>
        <v>29.131982703090664</v>
      </c>
      <c r="M261" s="79">
        <f t="shared" si="250"/>
        <v>20.93462817152146</v>
      </c>
      <c r="N261" s="79">
        <f t="shared" si="250"/>
        <v>10.365303411902932</v>
      </c>
      <c r="O261" s="79">
        <f t="shared" si="250"/>
        <v>14.288624679048072</v>
      </c>
      <c r="P261" s="79">
        <f t="shared" si="250"/>
        <v>19.847230895193263</v>
      </c>
    </row>
    <row r="262" spans="3:16" ht="14.25" customHeight="1" x14ac:dyDescent="0.3">
      <c r="C262" s="4" t="str">
        <f t="shared" si="246"/>
        <v>Tramites municipales</v>
      </c>
      <c r="D262" s="6" t="s">
        <v>41</v>
      </c>
      <c r="E262" s="6" t="s">
        <v>17</v>
      </c>
      <c r="F262" s="79">
        <f t="shared" si="220"/>
        <v>18.665761508066225</v>
      </c>
      <c r="H262" s="79">
        <f t="shared" ref="H262:P262" si="251">+(H$7*G$181+H85*H$181-(H$181-G$181))/(1-IR)</f>
        <v>11.725359011662466</v>
      </c>
      <c r="I262" s="79">
        <f t="shared" si="251"/>
        <v>14.875626471037929</v>
      </c>
      <c r="J262" s="79">
        <f t="shared" si="251"/>
        <v>23.408456211542745</v>
      </c>
      <c r="K262" s="79">
        <f t="shared" si="251"/>
        <v>24.20403027128517</v>
      </c>
      <c r="L262" s="79">
        <f t="shared" si="251"/>
        <v>28.977340991619567</v>
      </c>
      <c r="M262" s="79">
        <f t="shared" si="251"/>
        <v>20.784211688784065</v>
      </c>
      <c r="N262" s="79">
        <f t="shared" si="251"/>
        <v>10.206520491905554</v>
      </c>
      <c r="O262" s="79">
        <f t="shared" si="251"/>
        <v>14.125082215196027</v>
      </c>
      <c r="P262" s="79">
        <f t="shared" si="251"/>
        <v>19.685226219562519</v>
      </c>
    </row>
    <row r="263" spans="3:16" ht="14.25" customHeight="1" x14ac:dyDescent="0.3">
      <c r="C263" s="4" t="str">
        <f t="shared" si="246"/>
        <v>Elaboración bases licitación obras Etapas 1 y 2</v>
      </c>
      <c r="D263" s="6" t="s">
        <v>41</v>
      </c>
      <c r="E263" s="6" t="s">
        <v>17</v>
      </c>
      <c r="F263" s="79">
        <f t="shared" si="220"/>
        <v>18.82975112595075</v>
      </c>
      <c r="H263" s="79">
        <f t="shared" ref="H263:P263" si="252">+(H$7*G$181+H86*H$181-(H$181-G$181))/(1-IR)</f>
        <v>11.896168408630912</v>
      </c>
      <c r="I263" s="79">
        <f t="shared" si="252"/>
        <v>15.051633317741555</v>
      </c>
      <c r="J263" s="79">
        <f t="shared" si="252"/>
        <v>23.580980195908605</v>
      </c>
      <c r="K263" s="79">
        <f t="shared" si="252"/>
        <v>24.371208350519247</v>
      </c>
      <c r="L263" s="79">
        <f t="shared" si="252"/>
        <v>29.131982703090664</v>
      </c>
      <c r="M263" s="79">
        <f t="shared" si="252"/>
        <v>20.93462817152146</v>
      </c>
      <c r="N263" s="79">
        <f t="shared" si="252"/>
        <v>10.365303411902932</v>
      </c>
      <c r="O263" s="79">
        <f t="shared" si="252"/>
        <v>14.288624679048072</v>
      </c>
      <c r="P263" s="79">
        <f t="shared" si="252"/>
        <v>19.847230895193263</v>
      </c>
    </row>
    <row r="264" spans="3:16" ht="14.25" customHeight="1" x14ac:dyDescent="0.3">
      <c r="C264" s="4" t="str">
        <f t="shared" si="246"/>
        <v>Asesoría legal implementación Etapas 1 y 2</v>
      </c>
      <c r="D264" s="6" t="s">
        <v>41</v>
      </c>
      <c r="E264" s="6" t="s">
        <v>17</v>
      </c>
      <c r="F264" s="79">
        <f t="shared" si="220"/>
        <v>18.82975112595075</v>
      </c>
      <c r="H264" s="79">
        <f t="shared" ref="H264:P264" si="253">+(H$7*G$181+H87*H$181-(H$181-G$181))/(1-IR)</f>
        <v>11.896168408630912</v>
      </c>
      <c r="I264" s="79">
        <f t="shared" si="253"/>
        <v>15.051633317741555</v>
      </c>
      <c r="J264" s="79">
        <f t="shared" si="253"/>
        <v>23.580980195908605</v>
      </c>
      <c r="K264" s="79">
        <f t="shared" si="253"/>
        <v>24.371208350519247</v>
      </c>
      <c r="L264" s="79">
        <f t="shared" si="253"/>
        <v>29.131982703090664</v>
      </c>
      <c r="M264" s="79">
        <f t="shared" si="253"/>
        <v>20.93462817152146</v>
      </c>
      <c r="N264" s="79">
        <f t="shared" si="253"/>
        <v>10.365303411902932</v>
      </c>
      <c r="O264" s="79">
        <f t="shared" si="253"/>
        <v>14.288624679048072</v>
      </c>
      <c r="P264" s="79">
        <f t="shared" si="253"/>
        <v>19.847230895193263</v>
      </c>
    </row>
    <row r="265" spans="3:16" ht="14.25" customHeight="1" x14ac:dyDescent="0.3">
      <c r="C265" s="4" t="str">
        <f t="shared" si="246"/>
        <v>Consultorias - Revisión aceptación de obras Fases 1 &amp; 2</v>
      </c>
      <c r="D265" s="6" t="s">
        <v>41</v>
      </c>
      <c r="E265" s="6" t="s">
        <v>17</v>
      </c>
      <c r="F265" s="79">
        <f t="shared" si="220"/>
        <v>18.82975112595075</v>
      </c>
      <c r="H265" s="79">
        <f t="shared" ref="H265:P265" si="254">+(H$7*G$181+H88*H$181-(H$181-G$181))/(1-IR)</f>
        <v>11.896168408630912</v>
      </c>
      <c r="I265" s="79">
        <f t="shared" si="254"/>
        <v>15.051633317741555</v>
      </c>
      <c r="J265" s="79">
        <f t="shared" si="254"/>
        <v>23.580980195908605</v>
      </c>
      <c r="K265" s="79">
        <f t="shared" si="254"/>
        <v>24.371208350519247</v>
      </c>
      <c r="L265" s="79">
        <f t="shared" si="254"/>
        <v>29.131982703090664</v>
      </c>
      <c r="M265" s="79">
        <f t="shared" si="254"/>
        <v>20.93462817152146</v>
      </c>
      <c r="N265" s="79">
        <f t="shared" si="254"/>
        <v>10.365303411902932</v>
      </c>
      <c r="O265" s="79">
        <f t="shared" si="254"/>
        <v>14.288624679048072</v>
      </c>
      <c r="P265" s="79">
        <f t="shared" si="254"/>
        <v>19.847230895193263</v>
      </c>
    </row>
    <row r="266" spans="3:16" ht="14.25" customHeight="1" x14ac:dyDescent="0.3">
      <c r="C266" s="4" t="str">
        <f t="shared" si="246"/>
        <v>Consultorías por cierre construcción Fases 1&amp;2 - Consorcio FCC - JJC</v>
      </c>
      <c r="D266" s="6" t="s">
        <v>41</v>
      </c>
      <c r="E266" s="6" t="s">
        <v>17</v>
      </c>
      <c r="F266" s="79">
        <f t="shared" si="220"/>
        <v>18.82975112595075</v>
      </c>
      <c r="H266" s="79">
        <f t="shared" ref="H266:P266" si="255">+(H$7*G$181+H89*H$181-(H$181-G$181))/(1-IR)</f>
        <v>11.896168408630912</v>
      </c>
      <c r="I266" s="79">
        <f t="shared" si="255"/>
        <v>15.051633317741555</v>
      </c>
      <c r="J266" s="79">
        <f t="shared" si="255"/>
        <v>23.580980195908605</v>
      </c>
      <c r="K266" s="79">
        <f t="shared" si="255"/>
        <v>24.371208350519247</v>
      </c>
      <c r="L266" s="79">
        <f t="shared" si="255"/>
        <v>29.131982703090664</v>
      </c>
      <c r="M266" s="79">
        <f t="shared" si="255"/>
        <v>20.93462817152146</v>
      </c>
      <c r="N266" s="79">
        <f t="shared" si="255"/>
        <v>10.365303411902932</v>
      </c>
      <c r="O266" s="79">
        <f t="shared" si="255"/>
        <v>14.288624679048072</v>
      </c>
      <c r="P266" s="79">
        <f t="shared" si="255"/>
        <v>19.847230895193263</v>
      </c>
    </row>
    <row r="267" spans="3:16" ht="14.25" customHeight="1" x14ac:dyDescent="0.3">
      <c r="C267" s="4" t="str">
        <f t="shared" si="246"/>
        <v>Capitalización Equipo Proyectos Implementación Etapas 1 y 2</v>
      </c>
      <c r="D267" s="6" t="s">
        <v>41</v>
      </c>
      <c r="E267" s="6" t="s">
        <v>17</v>
      </c>
      <c r="F267" s="79">
        <f t="shared" si="220"/>
        <v>18.82975112595075</v>
      </c>
      <c r="H267" s="79">
        <f t="shared" ref="H267:P267" si="256">+(H$7*G$181+H90*H$181-(H$181-G$181))/(1-IR)</f>
        <v>11.896168408630912</v>
      </c>
      <c r="I267" s="79">
        <f t="shared" si="256"/>
        <v>15.051633317741555</v>
      </c>
      <c r="J267" s="79">
        <f t="shared" si="256"/>
        <v>23.580980195908605</v>
      </c>
      <c r="K267" s="79">
        <f t="shared" si="256"/>
        <v>24.371208350519247</v>
      </c>
      <c r="L267" s="79">
        <f t="shared" si="256"/>
        <v>29.131982703090664</v>
      </c>
      <c r="M267" s="79">
        <f t="shared" si="256"/>
        <v>20.93462817152146</v>
      </c>
      <c r="N267" s="79">
        <f t="shared" si="256"/>
        <v>10.365303411902932</v>
      </c>
      <c r="O267" s="79">
        <f t="shared" si="256"/>
        <v>14.288624679048072</v>
      </c>
      <c r="P267" s="79">
        <f t="shared" si="256"/>
        <v>19.847230895193263</v>
      </c>
    </row>
    <row r="268" spans="3:16" ht="14.25" customHeight="1" x14ac:dyDescent="0.3">
      <c r="C268" s="4" t="str">
        <f t="shared" si="246"/>
        <v>Expediente técnico, diseño e implementación - Etapas 1 y 2</v>
      </c>
      <c r="D268" s="6" t="s">
        <v>41</v>
      </c>
      <c r="E268" s="6" t="s">
        <v>17</v>
      </c>
      <c r="F268" s="79">
        <f t="shared" si="220"/>
        <v>18.82975112595075</v>
      </c>
      <c r="H268" s="79">
        <f t="shared" ref="H268:P268" si="257">+(H$7*G$181+H91*H$181-(H$181-G$181))/(1-IR)</f>
        <v>11.896168408630912</v>
      </c>
      <c r="I268" s="79">
        <f t="shared" si="257"/>
        <v>15.051633317741555</v>
      </c>
      <c r="J268" s="79">
        <f t="shared" si="257"/>
        <v>23.580980195908605</v>
      </c>
      <c r="K268" s="79">
        <f t="shared" si="257"/>
        <v>24.371208350519247</v>
      </c>
      <c r="L268" s="79">
        <f t="shared" si="257"/>
        <v>29.131982703090664</v>
      </c>
      <c r="M268" s="79">
        <f t="shared" si="257"/>
        <v>20.93462817152146</v>
      </c>
      <c r="N268" s="79">
        <f t="shared" si="257"/>
        <v>10.365303411902932</v>
      </c>
      <c r="O268" s="79">
        <f t="shared" si="257"/>
        <v>14.288624679048072</v>
      </c>
      <c r="P268" s="79">
        <f t="shared" si="257"/>
        <v>19.847230895193263</v>
      </c>
    </row>
    <row r="269" spans="3:16" ht="14.25" customHeight="1" x14ac:dyDescent="0.3">
      <c r="C269" s="4" t="str">
        <f t="shared" si="246"/>
        <v>Estudios e investigación (geotécnica, goefisica, sismica y similares)</v>
      </c>
      <c r="D269" s="6" t="s">
        <v>41</v>
      </c>
      <c r="E269" s="6" t="s">
        <v>17</v>
      </c>
      <c r="F269" s="79">
        <f t="shared" si="220"/>
        <v>18.82975112595075</v>
      </c>
      <c r="H269" s="79">
        <f t="shared" ref="H269:P269" si="258">+(H$7*G$181+H92*H$181-(H$181-G$181))/(1-IR)</f>
        <v>11.896168408630912</v>
      </c>
      <c r="I269" s="79">
        <f t="shared" si="258"/>
        <v>15.051633317741555</v>
      </c>
      <c r="J269" s="79">
        <f t="shared" si="258"/>
        <v>23.580980195908605</v>
      </c>
      <c r="K269" s="79">
        <f t="shared" si="258"/>
        <v>24.371208350519247</v>
      </c>
      <c r="L269" s="79">
        <f t="shared" si="258"/>
        <v>29.131982703090664</v>
      </c>
      <c r="M269" s="79">
        <f t="shared" si="258"/>
        <v>20.93462817152146</v>
      </c>
      <c r="N269" s="79">
        <f t="shared" si="258"/>
        <v>10.365303411902932</v>
      </c>
      <c r="O269" s="79">
        <f t="shared" si="258"/>
        <v>14.288624679048072</v>
      </c>
      <c r="P269" s="79">
        <f t="shared" si="258"/>
        <v>19.847230895193263</v>
      </c>
    </row>
    <row r="270" spans="3:16" ht="14.25" customHeight="1" x14ac:dyDescent="0.3">
      <c r="C270" s="4" t="str">
        <f t="shared" si="246"/>
        <v>Otros estudios y asesorías - Etapas 1 y 2</v>
      </c>
      <c r="D270" s="6" t="s">
        <v>41</v>
      </c>
      <c r="E270" s="6" t="s">
        <v>17</v>
      </c>
      <c r="F270" s="79">
        <f t="shared" si="220"/>
        <v>18.82975112595075</v>
      </c>
      <c r="H270" s="79">
        <f t="shared" ref="H270:P270" si="259">+(H$7*G$181+H93*H$181-(H$181-G$181))/(1-IR)</f>
        <v>11.896168408630912</v>
      </c>
      <c r="I270" s="79">
        <f t="shared" si="259"/>
        <v>15.051633317741555</v>
      </c>
      <c r="J270" s="79">
        <f t="shared" si="259"/>
        <v>23.580980195908605</v>
      </c>
      <c r="K270" s="79">
        <f t="shared" si="259"/>
        <v>24.371208350519247</v>
      </c>
      <c r="L270" s="79">
        <f t="shared" si="259"/>
        <v>29.131982703090664</v>
      </c>
      <c r="M270" s="79">
        <f t="shared" si="259"/>
        <v>20.93462817152146</v>
      </c>
      <c r="N270" s="79">
        <f t="shared" si="259"/>
        <v>10.365303411902932</v>
      </c>
      <c r="O270" s="79">
        <f t="shared" si="259"/>
        <v>14.288624679048072</v>
      </c>
      <c r="P270" s="79">
        <f t="shared" si="259"/>
        <v>19.847230895193263</v>
      </c>
    </row>
    <row r="271" spans="3:16" ht="14.25" customHeight="1" x14ac:dyDescent="0.3">
      <c r="C271" s="4" t="str">
        <f t="shared" si="246"/>
        <v>Energía, desmontaje y seguridad- Etapas 1 y 2</v>
      </c>
      <c r="D271" s="6" t="s">
        <v>41</v>
      </c>
      <c r="E271" s="6" t="s">
        <v>17</v>
      </c>
      <c r="F271" s="79">
        <f t="shared" si="220"/>
        <v>18.82975112595075</v>
      </c>
      <c r="H271" s="79">
        <f t="shared" ref="H271:P271" si="260">+(H$7*G$181+H94*H$181-(H$181-G$181))/(1-IR)</f>
        <v>11.896168408630912</v>
      </c>
      <c r="I271" s="79">
        <f t="shared" si="260"/>
        <v>15.051633317741555</v>
      </c>
      <c r="J271" s="79">
        <f t="shared" si="260"/>
        <v>23.580980195908605</v>
      </c>
      <c r="K271" s="79">
        <f t="shared" si="260"/>
        <v>24.371208350519247</v>
      </c>
      <c r="L271" s="79">
        <f t="shared" si="260"/>
        <v>29.131982703090664</v>
      </c>
      <c r="M271" s="79">
        <f t="shared" si="260"/>
        <v>20.93462817152146</v>
      </c>
      <c r="N271" s="79">
        <f t="shared" si="260"/>
        <v>10.365303411902932</v>
      </c>
      <c r="O271" s="79">
        <f t="shared" si="260"/>
        <v>14.288624679048072</v>
      </c>
      <c r="P271" s="79">
        <f t="shared" si="260"/>
        <v>19.847230895193263</v>
      </c>
    </row>
    <row r="272" spans="3:16" ht="14.25" customHeight="1" x14ac:dyDescent="0.3">
      <c r="C272" s="4" t="str">
        <f t="shared" si="246"/>
        <v>Soporte implementación - Etapas 1 y 2</v>
      </c>
      <c r="D272" s="6" t="s">
        <v>41</v>
      </c>
      <c r="E272" s="6" t="s">
        <v>17</v>
      </c>
      <c r="F272" s="79">
        <f t="shared" si="220"/>
        <v>18.82975112595075</v>
      </c>
      <c r="H272" s="79">
        <f t="shared" ref="H272:P272" si="261">+(H$7*G$181+H95*H$181-(H$181-G$181))/(1-IR)</f>
        <v>11.896168408630912</v>
      </c>
      <c r="I272" s="79">
        <f t="shared" si="261"/>
        <v>15.051633317741555</v>
      </c>
      <c r="J272" s="79">
        <f t="shared" si="261"/>
        <v>23.580980195908605</v>
      </c>
      <c r="K272" s="79">
        <f t="shared" si="261"/>
        <v>24.371208350519247</v>
      </c>
      <c r="L272" s="79">
        <f t="shared" si="261"/>
        <v>29.131982703090664</v>
      </c>
      <c r="M272" s="79">
        <f t="shared" si="261"/>
        <v>20.93462817152146</v>
      </c>
      <c r="N272" s="79">
        <f t="shared" si="261"/>
        <v>10.365303411902932</v>
      </c>
      <c r="O272" s="79">
        <f t="shared" si="261"/>
        <v>14.288624679048072</v>
      </c>
      <c r="P272" s="79">
        <f t="shared" si="261"/>
        <v>19.847230895193263</v>
      </c>
    </row>
    <row r="273" spans="3:16" ht="14.25" customHeight="1" x14ac:dyDescent="0.3">
      <c r="C273" s="4" t="str">
        <f t="shared" si="246"/>
        <v>Supervisión - Etapas 1 y 2</v>
      </c>
      <c r="D273" s="6" t="s">
        <v>41</v>
      </c>
      <c r="E273" s="6" t="s">
        <v>17</v>
      </c>
      <c r="F273" s="79">
        <f t="shared" si="220"/>
        <v>18.82975112595075</v>
      </c>
      <c r="H273" s="79">
        <f t="shared" ref="H273:P273" si="262">+(H$7*G$181+H96*H$181-(H$181-G$181))/(1-IR)</f>
        <v>11.896168408630912</v>
      </c>
      <c r="I273" s="79">
        <f t="shared" si="262"/>
        <v>15.051633317741555</v>
      </c>
      <c r="J273" s="79">
        <f t="shared" si="262"/>
        <v>23.580980195908605</v>
      </c>
      <c r="K273" s="79">
        <f t="shared" si="262"/>
        <v>24.371208350519247</v>
      </c>
      <c r="L273" s="79">
        <f t="shared" si="262"/>
        <v>29.131982703090664</v>
      </c>
      <c r="M273" s="79">
        <f t="shared" si="262"/>
        <v>20.93462817152146</v>
      </c>
      <c r="N273" s="79">
        <f t="shared" si="262"/>
        <v>10.365303411902932</v>
      </c>
      <c r="O273" s="79">
        <f t="shared" si="262"/>
        <v>14.288624679048072</v>
      </c>
      <c r="P273" s="79">
        <f t="shared" si="262"/>
        <v>19.847230895193263</v>
      </c>
    </row>
    <row r="274" spans="3:16" ht="14.25" customHeight="1" x14ac:dyDescent="0.3">
      <c r="C274" s="4" t="str">
        <f t="shared" si="246"/>
        <v>Costo Emisión Carta fianza - Etapas 1 y 2</v>
      </c>
      <c r="D274" s="6" t="s">
        <v>41</v>
      </c>
      <c r="E274" s="6" t="s">
        <v>17</v>
      </c>
      <c r="F274" s="79">
        <f t="shared" si="220"/>
        <v>18.82975112595075</v>
      </c>
      <c r="H274" s="79">
        <f t="shared" ref="H274:P274" si="263">+(H$7*G$181+H97*H$181-(H$181-G$181))/(1-IR)</f>
        <v>11.896168408630912</v>
      </c>
      <c r="I274" s="79">
        <f t="shared" si="263"/>
        <v>15.051633317741555</v>
      </c>
      <c r="J274" s="79">
        <f t="shared" si="263"/>
        <v>23.580980195908605</v>
      </c>
      <c r="K274" s="79">
        <f t="shared" si="263"/>
        <v>24.371208350519247</v>
      </c>
      <c r="L274" s="79">
        <f t="shared" si="263"/>
        <v>29.131982703090664</v>
      </c>
      <c r="M274" s="79">
        <f t="shared" si="263"/>
        <v>20.93462817152146</v>
      </c>
      <c r="N274" s="79">
        <f t="shared" si="263"/>
        <v>10.365303411902932</v>
      </c>
      <c r="O274" s="79">
        <f t="shared" si="263"/>
        <v>14.288624679048072</v>
      </c>
      <c r="P274" s="79">
        <f t="shared" si="263"/>
        <v>19.847230895193263</v>
      </c>
    </row>
    <row r="275" spans="3:16" ht="14.25" customHeight="1" x14ac:dyDescent="0.3">
      <c r="C275" s="4" t="str">
        <f t="shared" si="246"/>
        <v>Asesoría legal - Etapas 1 y 2</v>
      </c>
      <c r="D275" s="6" t="s">
        <v>41</v>
      </c>
      <c r="E275" s="6" t="s">
        <v>17</v>
      </c>
      <c r="F275" s="79">
        <f t="shared" si="220"/>
        <v>18.82975112595075</v>
      </c>
      <c r="H275" s="79">
        <f t="shared" ref="H275:P275" si="264">+(H$7*G$181+H98*H$181-(H$181-G$181))/(1-IR)</f>
        <v>11.896168408630912</v>
      </c>
      <c r="I275" s="79">
        <f t="shared" si="264"/>
        <v>15.051633317741555</v>
      </c>
      <c r="J275" s="79">
        <f t="shared" si="264"/>
        <v>23.580980195908605</v>
      </c>
      <c r="K275" s="79">
        <f t="shared" si="264"/>
        <v>24.371208350519247</v>
      </c>
      <c r="L275" s="79">
        <f t="shared" si="264"/>
        <v>29.131982703090664</v>
      </c>
      <c r="M275" s="79">
        <f t="shared" si="264"/>
        <v>20.93462817152146</v>
      </c>
      <c r="N275" s="79">
        <f t="shared" si="264"/>
        <v>10.365303411902932</v>
      </c>
      <c r="O275" s="79">
        <f t="shared" si="264"/>
        <v>14.288624679048072</v>
      </c>
      <c r="P275" s="79">
        <f t="shared" si="264"/>
        <v>19.847230895193263</v>
      </c>
    </row>
    <row r="276" spans="3:16" ht="14.25" customHeight="1" x14ac:dyDescent="0.3">
      <c r="C276" s="4" t="str">
        <f t="shared" si="246"/>
        <v>Otras obras (canaleta, paso a nivel, potencia eléctrica y otros)</v>
      </c>
      <c r="D276" s="6" t="s">
        <v>41</v>
      </c>
      <c r="E276" s="6" t="s">
        <v>17</v>
      </c>
      <c r="F276" s="79">
        <f t="shared" si="220"/>
        <v>18.82975112595075</v>
      </c>
      <c r="H276" s="79">
        <f t="shared" ref="H276:P276" si="265">+(H$7*G$181+H99*H$181-(H$181-G$181))/(1-IR)</f>
        <v>11.896168408630912</v>
      </c>
      <c r="I276" s="79">
        <f t="shared" si="265"/>
        <v>15.051633317741555</v>
      </c>
      <c r="J276" s="79">
        <f t="shared" si="265"/>
        <v>23.580980195908605</v>
      </c>
      <c r="K276" s="79">
        <f t="shared" si="265"/>
        <v>24.371208350519247</v>
      </c>
      <c r="L276" s="79">
        <f t="shared" si="265"/>
        <v>29.131982703090664</v>
      </c>
      <c r="M276" s="79">
        <f t="shared" si="265"/>
        <v>20.93462817152146</v>
      </c>
      <c r="N276" s="79">
        <f t="shared" si="265"/>
        <v>10.365303411902932</v>
      </c>
      <c r="O276" s="79">
        <f t="shared" si="265"/>
        <v>14.288624679048072</v>
      </c>
      <c r="P276" s="79">
        <f t="shared" si="265"/>
        <v>19.847230895193263</v>
      </c>
    </row>
    <row r="277" spans="3:16" ht="14.25" customHeight="1" x14ac:dyDescent="0.3">
      <c r="C277" s="4" t="str">
        <f t="shared" si="246"/>
        <v>Estudios y consultorías (simulación de maniobra, silo y otros)</v>
      </c>
      <c r="D277" s="6" t="s">
        <v>41</v>
      </c>
      <c r="E277" s="6" t="s">
        <v>17</v>
      </c>
      <c r="F277" s="79">
        <f t="shared" si="220"/>
        <v>18.82975112595075</v>
      </c>
      <c r="H277" s="79">
        <f t="shared" ref="H277:P277" si="266">+(H$7*G$181+H100*H$181-(H$181-G$181))/(1-IR)</f>
        <v>11.896168408630912</v>
      </c>
      <c r="I277" s="79">
        <f t="shared" si="266"/>
        <v>15.051633317741555</v>
      </c>
      <c r="J277" s="79">
        <f t="shared" si="266"/>
        <v>23.580980195908605</v>
      </c>
      <c r="K277" s="79">
        <f t="shared" si="266"/>
        <v>24.371208350519247</v>
      </c>
      <c r="L277" s="79">
        <f t="shared" si="266"/>
        <v>29.131982703090664</v>
      </c>
      <c r="M277" s="79">
        <f t="shared" si="266"/>
        <v>20.93462817152146</v>
      </c>
      <c r="N277" s="79">
        <f t="shared" si="266"/>
        <v>10.365303411902932</v>
      </c>
      <c r="O277" s="79">
        <f t="shared" si="266"/>
        <v>14.288624679048072</v>
      </c>
      <c r="P277" s="79">
        <f t="shared" si="266"/>
        <v>19.847230895193263</v>
      </c>
    </row>
    <row r="278" spans="3:16" ht="14.25" customHeight="1" x14ac:dyDescent="0.3">
      <c r="C278" s="4" t="str">
        <f t="shared" si="246"/>
        <v xml:space="preserve">Habilitación Urbana </v>
      </c>
      <c r="D278" s="6" t="s">
        <v>41</v>
      </c>
      <c r="E278" s="6" t="s">
        <v>17</v>
      </c>
      <c r="F278" s="79">
        <f t="shared" si="220"/>
        <v>18.82975112595075</v>
      </c>
      <c r="H278" s="79">
        <f t="shared" ref="H278:P278" si="267">+(H$7*G$181+H101*H$181-(H$181-G$181))/(1-IR)</f>
        <v>11.896168408630912</v>
      </c>
      <c r="I278" s="79">
        <f t="shared" si="267"/>
        <v>15.051633317741555</v>
      </c>
      <c r="J278" s="79">
        <f t="shared" si="267"/>
        <v>23.580980195908605</v>
      </c>
      <c r="K278" s="79">
        <f t="shared" si="267"/>
        <v>24.371208350519247</v>
      </c>
      <c r="L278" s="79">
        <f t="shared" si="267"/>
        <v>29.131982703090664</v>
      </c>
      <c r="M278" s="79">
        <f t="shared" si="267"/>
        <v>20.93462817152146</v>
      </c>
      <c r="N278" s="79">
        <f t="shared" si="267"/>
        <v>10.365303411902932</v>
      </c>
      <c r="O278" s="79">
        <f t="shared" si="267"/>
        <v>14.288624679048072</v>
      </c>
      <c r="P278" s="79">
        <f t="shared" si="267"/>
        <v>19.847230895193263</v>
      </c>
    </row>
    <row r="279" spans="3:16" ht="14.25" customHeight="1" x14ac:dyDescent="0.3">
      <c r="C279" s="4" t="str">
        <f t="shared" si="246"/>
        <v>Endurecedor concreto y otras obras finales  - Etapas 1 y 2</v>
      </c>
      <c r="D279" s="6" t="s">
        <v>41</v>
      </c>
      <c r="E279" s="6" t="s">
        <v>17</v>
      </c>
      <c r="F279" s="79">
        <f t="shared" si="220"/>
        <v>18.82975112595075</v>
      </c>
      <c r="H279" s="79">
        <f t="shared" ref="H279:P279" si="268">+(H$7*G$181+H102*H$181-(H$181-G$181))/(1-IR)</f>
        <v>11.896168408630912</v>
      </c>
      <c r="I279" s="79">
        <f t="shared" si="268"/>
        <v>15.051633317741555</v>
      </c>
      <c r="J279" s="79">
        <f t="shared" si="268"/>
        <v>23.580980195908605</v>
      </c>
      <c r="K279" s="79">
        <f t="shared" si="268"/>
        <v>24.371208350519247</v>
      </c>
      <c r="L279" s="79">
        <f t="shared" si="268"/>
        <v>29.131982703090664</v>
      </c>
      <c r="M279" s="79">
        <f t="shared" si="268"/>
        <v>20.93462817152146</v>
      </c>
      <c r="N279" s="79">
        <f t="shared" si="268"/>
        <v>10.365303411902932</v>
      </c>
      <c r="O279" s="79">
        <f t="shared" si="268"/>
        <v>14.288624679048072</v>
      </c>
      <c r="P279" s="79">
        <f t="shared" si="268"/>
        <v>19.847230895193263</v>
      </c>
    </row>
    <row r="280" spans="3:16" ht="14.25" customHeight="1" x14ac:dyDescent="0.3">
      <c r="C280" s="4" t="str">
        <f t="shared" si="246"/>
        <v>Gastos área proyectos - Etapas 1 y 2</v>
      </c>
      <c r="D280" s="6" t="s">
        <v>41</v>
      </c>
      <c r="E280" s="6" t="s">
        <v>17</v>
      </c>
      <c r="F280" s="79">
        <f t="shared" si="220"/>
        <v>18.82975112595075</v>
      </c>
      <c r="H280" s="79">
        <f t="shared" ref="H280:P280" si="269">+(H$7*G$181+H103*H$181-(H$181-G$181))/(1-IR)</f>
        <v>11.896168408630912</v>
      </c>
      <c r="I280" s="79">
        <f t="shared" si="269"/>
        <v>15.051633317741555</v>
      </c>
      <c r="J280" s="79">
        <f t="shared" si="269"/>
        <v>23.580980195908605</v>
      </c>
      <c r="K280" s="79">
        <f t="shared" si="269"/>
        <v>24.371208350519247</v>
      </c>
      <c r="L280" s="79">
        <f t="shared" si="269"/>
        <v>29.131982703090664</v>
      </c>
      <c r="M280" s="79">
        <f t="shared" si="269"/>
        <v>20.93462817152146</v>
      </c>
      <c r="N280" s="79">
        <f t="shared" si="269"/>
        <v>10.365303411902932</v>
      </c>
      <c r="O280" s="79">
        <f t="shared" si="269"/>
        <v>14.288624679048072</v>
      </c>
      <c r="P280" s="79">
        <f t="shared" si="269"/>
        <v>19.847230895193263</v>
      </c>
    </row>
    <row r="281" spans="3:16" ht="14.25" customHeight="1" x14ac:dyDescent="0.3">
      <c r="C281" s="4" t="str">
        <f t="shared" si="246"/>
        <v>Monitoreo arqueológico, reparación y movimientos - Etapas 1 y 2</v>
      </c>
      <c r="D281" s="6" t="s">
        <v>41</v>
      </c>
      <c r="E281" s="6" t="s">
        <v>17</v>
      </c>
      <c r="F281" s="79">
        <f t="shared" si="220"/>
        <v>18.82975112595075</v>
      </c>
      <c r="H281" s="79">
        <f t="shared" ref="H281:P281" si="270">+(H$7*G$181+H104*H$181-(H$181-G$181))/(1-IR)</f>
        <v>11.896168408630912</v>
      </c>
      <c r="I281" s="79">
        <f t="shared" si="270"/>
        <v>15.051633317741555</v>
      </c>
      <c r="J281" s="79">
        <f t="shared" si="270"/>
        <v>23.580980195908605</v>
      </c>
      <c r="K281" s="79">
        <f t="shared" si="270"/>
        <v>24.371208350519247</v>
      </c>
      <c r="L281" s="79">
        <f t="shared" si="270"/>
        <v>29.131982703090664</v>
      </c>
      <c r="M281" s="79">
        <f t="shared" si="270"/>
        <v>20.93462817152146</v>
      </c>
      <c r="N281" s="79">
        <f t="shared" si="270"/>
        <v>10.365303411902932</v>
      </c>
      <c r="O281" s="79">
        <f t="shared" si="270"/>
        <v>14.288624679048072</v>
      </c>
      <c r="P281" s="79">
        <f t="shared" si="270"/>
        <v>19.847230895193263</v>
      </c>
    </row>
    <row r="282" spans="3:16" ht="14.25" customHeight="1" x14ac:dyDescent="0.3">
      <c r="C282" s="4" t="str">
        <f t="shared" si="246"/>
        <v>Gastos de impuesto a la renta por servicios terceros - Etapas 1 y 2</v>
      </c>
      <c r="D282" s="6" t="s">
        <v>41</v>
      </c>
      <c r="E282" s="6" t="s">
        <v>17</v>
      </c>
      <c r="F282" s="79">
        <f t="shared" si="220"/>
        <v>18.82975112595075</v>
      </c>
      <c r="H282" s="79">
        <f t="shared" ref="H282:P282" si="271">+(H$7*G$181+H105*H$181-(H$181-G$181))/(1-IR)</f>
        <v>11.896168408630912</v>
      </c>
      <c r="I282" s="79">
        <f t="shared" si="271"/>
        <v>15.051633317741555</v>
      </c>
      <c r="J282" s="79">
        <f t="shared" si="271"/>
        <v>23.580980195908605</v>
      </c>
      <c r="K282" s="79">
        <f t="shared" si="271"/>
        <v>24.371208350519247</v>
      </c>
      <c r="L282" s="79">
        <f t="shared" si="271"/>
        <v>29.131982703090664</v>
      </c>
      <c r="M282" s="79">
        <f t="shared" si="271"/>
        <v>20.93462817152146</v>
      </c>
      <c r="N282" s="79">
        <f t="shared" si="271"/>
        <v>10.365303411902932</v>
      </c>
      <c r="O282" s="79">
        <f t="shared" si="271"/>
        <v>14.288624679048072</v>
      </c>
      <c r="P282" s="79">
        <f t="shared" si="271"/>
        <v>19.847230895193263</v>
      </c>
    </row>
    <row r="283" spans="3:16" ht="14.25" customHeight="1" x14ac:dyDescent="0.3">
      <c r="C283" s="4" t="str">
        <f t="shared" si="246"/>
        <v>Préstamo I y II (intereses)</v>
      </c>
      <c r="D283" s="6" t="s">
        <v>41</v>
      </c>
      <c r="E283" s="6" t="s">
        <v>17</v>
      </c>
      <c r="F283" s="79">
        <f t="shared" si="220"/>
        <v>18.82975112595075</v>
      </c>
      <c r="H283" s="79">
        <f t="shared" ref="H283:P283" si="272">+(H$7*G$181+H106*H$181-(H$181-G$181))/(1-IR)</f>
        <v>11.896168408630912</v>
      </c>
      <c r="I283" s="79">
        <f t="shared" si="272"/>
        <v>15.051633317741555</v>
      </c>
      <c r="J283" s="79">
        <f t="shared" si="272"/>
        <v>23.580980195908605</v>
      </c>
      <c r="K283" s="79">
        <f t="shared" si="272"/>
        <v>24.371208350519247</v>
      </c>
      <c r="L283" s="79">
        <f t="shared" si="272"/>
        <v>29.131982703090664</v>
      </c>
      <c r="M283" s="79">
        <f t="shared" si="272"/>
        <v>20.93462817152146</v>
      </c>
      <c r="N283" s="79">
        <f t="shared" si="272"/>
        <v>10.365303411902932</v>
      </c>
      <c r="O283" s="79">
        <f t="shared" si="272"/>
        <v>14.288624679048072</v>
      </c>
      <c r="P283" s="79">
        <f t="shared" si="272"/>
        <v>19.847230895193263</v>
      </c>
    </row>
    <row r="284" spans="3:16" ht="14.25" customHeight="1" x14ac:dyDescent="0.3">
      <c r="C284" s="4" t="str">
        <f t="shared" si="246"/>
        <v>Asesoría Tecnica DAB (construccion Fases 1 &amp; 2)</v>
      </c>
      <c r="D284" s="6" t="s">
        <v>41</v>
      </c>
      <c r="E284" s="6" t="s">
        <v>17</v>
      </c>
      <c r="F284" s="79">
        <f t="shared" si="220"/>
        <v>18.82975112595075</v>
      </c>
      <c r="H284" s="79">
        <f t="shared" ref="H284:P284" si="273">+(H$7*G$181+H107*H$181-(H$181-G$181))/(1-IR)</f>
        <v>11.896168408630912</v>
      </c>
      <c r="I284" s="79">
        <f t="shared" si="273"/>
        <v>15.051633317741555</v>
      </c>
      <c r="J284" s="79">
        <f t="shared" si="273"/>
        <v>23.580980195908605</v>
      </c>
      <c r="K284" s="79">
        <f t="shared" si="273"/>
        <v>24.371208350519247</v>
      </c>
      <c r="L284" s="79">
        <f t="shared" si="273"/>
        <v>29.131982703090664</v>
      </c>
      <c r="M284" s="79">
        <f t="shared" si="273"/>
        <v>20.93462817152146</v>
      </c>
      <c r="N284" s="79">
        <f t="shared" si="273"/>
        <v>10.365303411902932</v>
      </c>
      <c r="O284" s="79">
        <f t="shared" si="273"/>
        <v>14.288624679048072</v>
      </c>
      <c r="P284" s="79">
        <f t="shared" si="273"/>
        <v>19.847230895193263</v>
      </c>
    </row>
    <row r="285" spans="3:16" ht="14.25" customHeight="1" x14ac:dyDescent="0.3">
      <c r="C285" s="4" t="str">
        <f t="shared" si="246"/>
        <v>Tasa de tramitación y comisión IFC</v>
      </c>
      <c r="D285" s="6" t="s">
        <v>41</v>
      </c>
      <c r="E285" s="6" t="s">
        <v>17</v>
      </c>
      <c r="F285" s="79">
        <f t="shared" si="220"/>
        <v>18.82975112595075</v>
      </c>
      <c r="H285" s="79">
        <f t="shared" ref="H285:P285" si="274">+(H$7*G$181+H108*H$181-(H$181-G$181))/(1-IR)</f>
        <v>11.896168408630912</v>
      </c>
      <c r="I285" s="79">
        <f t="shared" si="274"/>
        <v>15.051633317741555</v>
      </c>
      <c r="J285" s="79">
        <f t="shared" si="274"/>
        <v>23.580980195908605</v>
      </c>
      <c r="K285" s="79">
        <f t="shared" si="274"/>
        <v>24.371208350519247</v>
      </c>
      <c r="L285" s="79">
        <f t="shared" si="274"/>
        <v>29.131982703090664</v>
      </c>
      <c r="M285" s="79">
        <f t="shared" si="274"/>
        <v>20.93462817152146</v>
      </c>
      <c r="N285" s="79">
        <f t="shared" si="274"/>
        <v>10.365303411902932</v>
      </c>
      <c r="O285" s="79">
        <f t="shared" si="274"/>
        <v>14.288624679048072</v>
      </c>
      <c r="P285" s="79">
        <f t="shared" si="274"/>
        <v>19.847230895193263</v>
      </c>
    </row>
    <row r="286" spans="3:16" ht="14.25" customHeight="1" x14ac:dyDescent="0.3">
      <c r="C286" s="4" t="str">
        <f t="shared" si="246"/>
        <v>Impuesto Predial Municipalidad del Callao</v>
      </c>
      <c r="D286" s="6" t="s">
        <v>41</v>
      </c>
      <c r="E286" s="6" t="s">
        <v>17</v>
      </c>
      <c r="F286" s="79">
        <f t="shared" si="220"/>
        <v>18.82975112595075</v>
      </c>
      <c r="H286" s="79">
        <f t="shared" ref="H286:P286" si="275">+(H$7*G$181+H109*H$181-(H$181-G$181))/(1-IR)</f>
        <v>11.896168408630912</v>
      </c>
      <c r="I286" s="79">
        <f t="shared" si="275"/>
        <v>15.051633317741555</v>
      </c>
      <c r="J286" s="79">
        <f t="shared" si="275"/>
        <v>23.580980195908605</v>
      </c>
      <c r="K286" s="79">
        <f t="shared" si="275"/>
        <v>24.371208350519247</v>
      </c>
      <c r="L286" s="79">
        <f t="shared" si="275"/>
        <v>29.131982703090664</v>
      </c>
      <c r="M286" s="79">
        <f t="shared" si="275"/>
        <v>20.93462817152146</v>
      </c>
      <c r="N286" s="79">
        <f t="shared" si="275"/>
        <v>10.365303411902932</v>
      </c>
      <c r="O286" s="79">
        <f t="shared" si="275"/>
        <v>14.288624679048072</v>
      </c>
      <c r="P286" s="79">
        <f t="shared" si="275"/>
        <v>19.847230895193263</v>
      </c>
    </row>
    <row r="287" spans="3:16" ht="14.25" customHeight="1" x14ac:dyDescent="0.3">
      <c r="C287" s="4" t="str">
        <f t="shared" ref="C287:C319" si="276">+C110</f>
        <v>Póliza de Seguro Todo Riesgo - Construcción - Etapas 1 y 2</v>
      </c>
      <c r="D287" s="6" t="s">
        <v>41</v>
      </c>
      <c r="E287" s="6" t="s">
        <v>17</v>
      </c>
      <c r="F287" s="79">
        <f t="shared" si="220"/>
        <v>18.82975112595075</v>
      </c>
      <c r="H287" s="79">
        <f t="shared" ref="H287:P287" si="277">+(H$7*G$181+H110*H$181-(H$181-G$181))/(1-IR)</f>
        <v>11.896168408630912</v>
      </c>
      <c r="I287" s="79">
        <f t="shared" si="277"/>
        <v>15.051633317741555</v>
      </c>
      <c r="J287" s="79">
        <f t="shared" si="277"/>
        <v>23.580980195908605</v>
      </c>
      <c r="K287" s="79">
        <f t="shared" si="277"/>
        <v>24.371208350519247</v>
      </c>
      <c r="L287" s="79">
        <f t="shared" si="277"/>
        <v>29.131982703090664</v>
      </c>
      <c r="M287" s="79">
        <f t="shared" si="277"/>
        <v>20.93462817152146</v>
      </c>
      <c r="N287" s="79">
        <f t="shared" si="277"/>
        <v>10.365303411902932</v>
      </c>
      <c r="O287" s="79">
        <f t="shared" si="277"/>
        <v>14.288624679048072</v>
      </c>
      <c r="P287" s="79">
        <f t="shared" si="277"/>
        <v>19.847230895193263</v>
      </c>
    </row>
    <row r="288" spans="3:16" ht="14.25" customHeight="1" x14ac:dyDescent="0.3">
      <c r="C288" s="4" t="str">
        <f t="shared" si="276"/>
        <v>Implementación Acceso Atalaya</v>
      </c>
      <c r="D288" s="6" t="s">
        <v>41</v>
      </c>
      <c r="E288" s="6" t="s">
        <v>17</v>
      </c>
      <c r="F288" s="79">
        <f t="shared" si="220"/>
        <v>18.872301286837686</v>
      </c>
      <c r="H288" s="79">
        <f t="shared" ref="H288:P288" si="278">+(H$7*G$181+H111*H$181-(H$181-G$181))/(1-IR)</f>
        <v>11.940488088228713</v>
      </c>
      <c r="I288" s="79">
        <f t="shared" si="278"/>
        <v>15.097301572482632</v>
      </c>
      <c r="J288" s="79">
        <f t="shared" si="278"/>
        <v>23.625744757143163</v>
      </c>
      <c r="K288" s="79">
        <f t="shared" si="278"/>
        <v>24.4145858170927</v>
      </c>
      <c r="L288" s="79">
        <f t="shared" si="278"/>
        <v>29.172107375541334</v>
      </c>
      <c r="M288" s="79">
        <f t="shared" si="278"/>
        <v>20.973656529676614</v>
      </c>
      <c r="N288" s="79">
        <f t="shared" si="278"/>
        <v>10.406502598041314</v>
      </c>
      <c r="O288" s="79">
        <f t="shared" si="278"/>
        <v>14.33105881749244</v>
      </c>
      <c r="P288" s="79">
        <f t="shared" si="278"/>
        <v>19.889266025840246</v>
      </c>
    </row>
    <row r="289" spans="2:16" ht="14.25" customHeight="1" x14ac:dyDescent="0.3">
      <c r="C289" s="4" t="str">
        <f t="shared" si="276"/>
        <v>Trabajos y supervisión - levantamiento observaciones Etapas 1 y 2</v>
      </c>
      <c r="D289" s="6" t="s">
        <v>41</v>
      </c>
      <c r="E289" s="6" t="s">
        <v>17</v>
      </c>
      <c r="F289" s="79">
        <f t="shared" si="220"/>
        <v>18.869103656060858</v>
      </c>
      <c r="H289" s="79">
        <f t="shared" ref="H289:P289" si="279">+(H$7*G$181+H112*H$181-(H$181-G$181))/(1-IR)</f>
        <v>11.93715747869523</v>
      </c>
      <c r="I289" s="79">
        <f t="shared" si="279"/>
        <v>15.093869617964945</v>
      </c>
      <c r="J289" s="79">
        <f t="shared" si="279"/>
        <v>23.622380714899109</v>
      </c>
      <c r="K289" s="79">
        <f t="shared" si="279"/>
        <v>24.411326014562114</v>
      </c>
      <c r="L289" s="79">
        <f t="shared" si="279"/>
        <v>29.169092019433059</v>
      </c>
      <c r="M289" s="79">
        <f t="shared" si="279"/>
        <v>20.970723561231729</v>
      </c>
      <c r="N289" s="79">
        <f t="shared" si="279"/>
        <v>10.403406492578245</v>
      </c>
      <c r="O289" s="79">
        <f t="shared" si="279"/>
        <v>14.327869905764503</v>
      </c>
      <c r="P289" s="79">
        <f t="shared" si="279"/>
        <v>19.886107099418744</v>
      </c>
    </row>
    <row r="290" spans="2:16" ht="14.25" customHeight="1" x14ac:dyDescent="0.3">
      <c r="C290" s="4" t="str">
        <f t="shared" si="276"/>
        <v>EIA - levantamiento observaciones Etapas 1 y 2</v>
      </c>
      <c r="D290" s="6" t="s">
        <v>41</v>
      </c>
      <c r="E290" s="6" t="s">
        <v>17</v>
      </c>
      <c r="F290" s="79">
        <f t="shared" si="220"/>
        <v>19.081309380580027</v>
      </c>
      <c r="H290" s="79">
        <f t="shared" ref="H290:P290" si="280">+(H$7*G$181+H113*H$181-(H$181-G$181))/(1-IR)</f>
        <v>12.158188128720258</v>
      </c>
      <c r="I290" s="79">
        <f t="shared" si="280"/>
        <v>15.321625868067187</v>
      </c>
      <c r="J290" s="79">
        <f t="shared" si="280"/>
        <v>23.845630074044958</v>
      </c>
      <c r="K290" s="79">
        <f t="shared" si="280"/>
        <v>24.627657669487817</v>
      </c>
      <c r="L290" s="79">
        <f t="shared" si="280"/>
        <v>29.369201372982001</v>
      </c>
      <c r="M290" s="79">
        <f t="shared" si="280"/>
        <v>21.165365387407533</v>
      </c>
      <c r="N290" s="79">
        <f t="shared" si="280"/>
        <v>10.608874649733419</v>
      </c>
      <c r="O290" s="79">
        <f t="shared" si="280"/>
        <v>14.539497004351999</v>
      </c>
      <c r="P290" s="79">
        <f t="shared" si="280"/>
        <v>20.095744270425055</v>
      </c>
    </row>
    <row r="291" spans="2:16" ht="14.25" customHeight="1" x14ac:dyDescent="0.3">
      <c r="C291" s="4" t="str">
        <f t="shared" si="276"/>
        <v>Asesorías - cierre DAB (consorcio JJCC)</v>
      </c>
      <c r="D291" s="6" t="s">
        <v>41</v>
      </c>
      <c r="E291" s="6" t="s">
        <v>17</v>
      </c>
      <c r="F291" s="79">
        <f t="shared" si="220"/>
        <v>18.869103656060858</v>
      </c>
      <c r="H291" s="79">
        <f t="shared" ref="H291:P291" si="281">+(H$7*G$181+H114*H$181-(H$181-G$181))/(1-IR)</f>
        <v>11.93715747869523</v>
      </c>
      <c r="I291" s="79">
        <f t="shared" si="281"/>
        <v>15.093869617964945</v>
      </c>
      <c r="J291" s="79">
        <f t="shared" si="281"/>
        <v>23.622380714899109</v>
      </c>
      <c r="K291" s="79">
        <f t="shared" si="281"/>
        <v>24.411326014562114</v>
      </c>
      <c r="L291" s="79">
        <f t="shared" si="281"/>
        <v>29.169092019433059</v>
      </c>
      <c r="M291" s="79">
        <f t="shared" si="281"/>
        <v>20.970723561231729</v>
      </c>
      <c r="N291" s="79">
        <f t="shared" si="281"/>
        <v>10.403406492578245</v>
      </c>
      <c r="O291" s="79">
        <f t="shared" si="281"/>
        <v>14.327869905764503</v>
      </c>
      <c r="P291" s="79">
        <f t="shared" si="281"/>
        <v>19.886107099418744</v>
      </c>
    </row>
    <row r="292" spans="2:16" ht="14.25" customHeight="1" x14ac:dyDescent="0.3">
      <c r="C292" s="4" t="str">
        <f t="shared" si="276"/>
        <v>Soporte Claim Management Services - DAB</v>
      </c>
      <c r="D292" s="6" t="s">
        <v>41</v>
      </c>
      <c r="E292" s="6" t="s">
        <v>17</v>
      </c>
      <c r="F292" s="79">
        <f t="shared" si="220"/>
        <v>18.869103656060858</v>
      </c>
      <c r="H292" s="79">
        <f t="shared" ref="H292:P292" si="282">+(H$7*G$181+H115*H$181-(H$181-G$181))/(1-IR)</f>
        <v>11.93715747869523</v>
      </c>
      <c r="I292" s="79">
        <f t="shared" si="282"/>
        <v>15.093869617964945</v>
      </c>
      <c r="J292" s="79">
        <f t="shared" si="282"/>
        <v>23.622380714899109</v>
      </c>
      <c r="K292" s="79">
        <f t="shared" si="282"/>
        <v>24.411326014562114</v>
      </c>
      <c r="L292" s="79">
        <f t="shared" si="282"/>
        <v>29.169092019433059</v>
      </c>
      <c r="M292" s="79">
        <f t="shared" si="282"/>
        <v>20.970723561231729</v>
      </c>
      <c r="N292" s="79">
        <f t="shared" si="282"/>
        <v>10.403406492578245</v>
      </c>
      <c r="O292" s="79">
        <f t="shared" si="282"/>
        <v>14.327869905764503</v>
      </c>
      <c r="P292" s="79">
        <f t="shared" si="282"/>
        <v>19.886107099418744</v>
      </c>
    </row>
    <row r="293" spans="2:16" ht="14.25" customHeight="1" x14ac:dyDescent="0.3">
      <c r="C293" s="4" t="str">
        <f t="shared" si="276"/>
        <v>Viáticos  personal proceso DAB</v>
      </c>
      <c r="D293" s="6" t="s">
        <v>41</v>
      </c>
      <c r="E293" s="6" t="s">
        <v>17</v>
      </c>
      <c r="F293" s="79">
        <f t="shared" si="220"/>
        <v>18.869103656060858</v>
      </c>
      <c r="H293" s="79">
        <f t="shared" ref="H293:P293" si="283">+(H$7*G$181+H116*H$181-(H$181-G$181))/(1-IR)</f>
        <v>11.93715747869523</v>
      </c>
      <c r="I293" s="79">
        <f t="shared" si="283"/>
        <v>15.093869617964945</v>
      </c>
      <c r="J293" s="79">
        <f t="shared" si="283"/>
        <v>23.622380714899109</v>
      </c>
      <c r="K293" s="79">
        <f t="shared" si="283"/>
        <v>24.411326014562114</v>
      </c>
      <c r="L293" s="79">
        <f t="shared" si="283"/>
        <v>29.169092019433059</v>
      </c>
      <c r="M293" s="79">
        <f t="shared" si="283"/>
        <v>20.970723561231729</v>
      </c>
      <c r="N293" s="79">
        <f t="shared" si="283"/>
        <v>10.403406492578245</v>
      </c>
      <c r="O293" s="79">
        <f t="shared" si="283"/>
        <v>14.327869905764503</v>
      </c>
      <c r="P293" s="79">
        <f t="shared" si="283"/>
        <v>19.886107099418744</v>
      </c>
    </row>
    <row r="294" spans="2:16" ht="14.25" customHeight="1" x14ac:dyDescent="0.3">
      <c r="C294" s="4" t="str">
        <f t="shared" si="276"/>
        <v>Reembolso a Consorcio FCC-JJC por gastos incurridos - proceso DAB</v>
      </c>
      <c r="D294" s="6" t="s">
        <v>41</v>
      </c>
      <c r="E294" s="6" t="s">
        <v>17</v>
      </c>
      <c r="F294" s="79">
        <f t="shared" si="220"/>
        <v>18.869103656060858</v>
      </c>
      <c r="H294" s="79">
        <f t="shared" ref="H294:P294" si="284">+(H$7*G$181+H117*H$181-(H$181-G$181))/(1-IR)</f>
        <v>11.93715747869523</v>
      </c>
      <c r="I294" s="79">
        <f t="shared" si="284"/>
        <v>15.093869617964945</v>
      </c>
      <c r="J294" s="79">
        <f t="shared" si="284"/>
        <v>23.622380714899109</v>
      </c>
      <c r="K294" s="79">
        <f t="shared" si="284"/>
        <v>24.411326014562114</v>
      </c>
      <c r="L294" s="79">
        <f t="shared" si="284"/>
        <v>29.169092019433059</v>
      </c>
      <c r="M294" s="79">
        <f t="shared" si="284"/>
        <v>20.970723561231729</v>
      </c>
      <c r="N294" s="79">
        <f t="shared" si="284"/>
        <v>10.403406492578245</v>
      </c>
      <c r="O294" s="79">
        <f t="shared" si="284"/>
        <v>14.327869905764503</v>
      </c>
      <c r="P294" s="79">
        <f t="shared" si="284"/>
        <v>19.886107099418744</v>
      </c>
    </row>
    <row r="295" spans="2:16" ht="14.25" customHeight="1" x14ac:dyDescent="0.3">
      <c r="C295" s="4" t="str">
        <f t="shared" si="276"/>
        <v>Gastos de IR asumidos por asesoría con el DAB</v>
      </c>
      <c r="D295" s="6" t="s">
        <v>41</v>
      </c>
      <c r="E295" s="6" t="s">
        <v>17</v>
      </c>
      <c r="F295" s="79">
        <f t="shared" ref="F295:F303" si="285">+AVERAGEIF(H295:P295,no_cero)</f>
        <v>18.869103656060858</v>
      </c>
      <c r="H295" s="79">
        <f t="shared" ref="H295:P295" si="286">+(H$7*G$181+H118*H$181-(H$181-G$181))/(1-IR)</f>
        <v>11.93715747869523</v>
      </c>
      <c r="I295" s="79">
        <f t="shared" si="286"/>
        <v>15.093869617964945</v>
      </c>
      <c r="J295" s="79">
        <f t="shared" si="286"/>
        <v>23.622380714899109</v>
      </c>
      <c r="K295" s="79">
        <f t="shared" si="286"/>
        <v>24.411326014562114</v>
      </c>
      <c r="L295" s="79">
        <f t="shared" si="286"/>
        <v>29.169092019433059</v>
      </c>
      <c r="M295" s="79">
        <f t="shared" si="286"/>
        <v>20.970723561231729</v>
      </c>
      <c r="N295" s="79">
        <f t="shared" si="286"/>
        <v>10.403406492578245</v>
      </c>
      <c r="O295" s="79">
        <f t="shared" si="286"/>
        <v>14.327869905764503</v>
      </c>
      <c r="P295" s="79">
        <f t="shared" si="286"/>
        <v>19.886107099418744</v>
      </c>
    </row>
    <row r="296" spans="2:16" ht="14.25" customHeight="1" x14ac:dyDescent="0.3">
      <c r="C296" s="4" t="str">
        <f t="shared" si="276"/>
        <v>Taller de mantenimiento</v>
      </c>
      <c r="D296" s="6" t="s">
        <v>41</v>
      </c>
      <c r="E296" s="6" t="s">
        <v>17</v>
      </c>
      <c r="F296" s="79">
        <f t="shared" si="285"/>
        <v>18.998554482592802</v>
      </c>
      <c r="H296" s="79">
        <f t="shared" ref="H296:P296" si="287">+(H$7*G$181+H119*H$181-(H$181-G$181))/(1-IR)</f>
        <v>12.071991731632872</v>
      </c>
      <c r="I296" s="79">
        <f t="shared" si="287"/>
        <v>15.232806656022502</v>
      </c>
      <c r="J296" s="79">
        <f t="shared" si="287"/>
        <v>23.758568436175906</v>
      </c>
      <c r="K296" s="79">
        <f t="shared" si="287"/>
        <v>24.543293762362556</v>
      </c>
      <c r="L296" s="79">
        <f t="shared" si="287"/>
        <v>29.291163755586172</v>
      </c>
      <c r="M296" s="79">
        <f t="shared" si="287"/>
        <v>21.089459968240718</v>
      </c>
      <c r="N296" s="79">
        <f t="shared" si="287"/>
        <v>10.528747233644495</v>
      </c>
      <c r="O296" s="79">
        <f t="shared" si="287"/>
        <v>14.456967755932226</v>
      </c>
      <c r="P296" s="79">
        <f t="shared" si="287"/>
        <v>20.013991043737757</v>
      </c>
    </row>
    <row r="297" spans="2:16" ht="14.25" customHeight="1" x14ac:dyDescent="0.3">
      <c r="C297" s="4" t="str">
        <f t="shared" si="276"/>
        <v>Edificio amenidades, Mobiliario e instalaciones Equipo IT</v>
      </c>
      <c r="D297" s="6" t="s">
        <v>41</v>
      </c>
      <c r="E297" s="6" t="s">
        <v>17</v>
      </c>
      <c r="F297" s="79">
        <f t="shared" si="285"/>
        <v>33.54021489779786</v>
      </c>
      <c r="H297" s="79">
        <f t="shared" ref="H297:P297" si="288">+(H$7*G$181+H120*H$181-(H$181-G$181))/(1-IR)</f>
        <v>27.218391110343276</v>
      </c>
      <c r="I297" s="79">
        <f t="shared" si="288"/>
        <v>30.840086120003615</v>
      </c>
      <c r="J297" s="79">
        <f t="shared" si="288"/>
        <v>39.057007608667867</v>
      </c>
      <c r="K297" s="79">
        <f t="shared" si="288"/>
        <v>39.367688674973188</v>
      </c>
      <c r="L297" s="79">
        <f t="shared" si="288"/>
        <v>43.003905350132705</v>
      </c>
      <c r="M297" s="79">
        <f t="shared" si="288"/>
        <v>34.42753246961729</v>
      </c>
      <c r="N297" s="79">
        <f t="shared" si="288"/>
        <v>24.608707490412282</v>
      </c>
      <c r="O297" s="79">
        <f t="shared" si="288"/>
        <v>28.958977111652956</v>
      </c>
      <c r="P297" s="79">
        <f t="shared" si="288"/>
        <v>34.37963814437758</v>
      </c>
    </row>
    <row r="298" spans="2:16" ht="14.25" customHeight="1" x14ac:dyDescent="0.3">
      <c r="C298" s="4" t="str">
        <f t="shared" si="276"/>
        <v>Taller de mantenimiento &amp; Equipo Mantenimiento</v>
      </c>
      <c r="D298" s="6" t="s">
        <v>41</v>
      </c>
      <c r="E298" s="6" t="s">
        <v>17</v>
      </c>
      <c r="F298" s="79">
        <f t="shared" si="285"/>
        <v>30.269000305588683</v>
      </c>
      <c r="H298" s="79">
        <f t="shared" ref="H298:P298" si="289">+(H$7*G$181+H121*H$181-(H$181-G$181))/(1-IR)</f>
        <v>23.811137656999122</v>
      </c>
      <c r="I298" s="79">
        <f t="shared" si="289"/>
        <v>27.329155533708416</v>
      </c>
      <c r="J298" s="79">
        <f t="shared" si="289"/>
        <v>35.615552091885711</v>
      </c>
      <c r="K298" s="79">
        <f t="shared" si="289"/>
        <v>36.032871633853368</v>
      </c>
      <c r="L298" s="79">
        <f t="shared" si="289"/>
        <v>39.919159927500587</v>
      </c>
      <c r="M298" s="79">
        <f t="shared" si="289"/>
        <v>31.427070613636609</v>
      </c>
      <c r="N298" s="79">
        <f t="shared" si="289"/>
        <v>21.441354510452427</v>
      </c>
      <c r="O298" s="79">
        <f t="shared" si="289"/>
        <v>25.696682210914922</v>
      </c>
      <c r="P298" s="79">
        <f t="shared" si="289"/>
        <v>31.14801857134702</v>
      </c>
    </row>
    <row r="299" spans="2:16" ht="14.25" customHeight="1" collapsed="1" x14ac:dyDescent="0.3">
      <c r="C299" s="4"/>
      <c r="D299" s="6"/>
      <c r="E299" s="6"/>
      <c r="F299" s="79"/>
      <c r="H299" s="79"/>
      <c r="I299" s="79"/>
      <c r="J299" s="79"/>
      <c r="K299" s="79"/>
      <c r="L299" s="79"/>
      <c r="M299" s="79"/>
      <c r="N299" s="79"/>
      <c r="O299" s="79"/>
      <c r="P299" s="79"/>
    </row>
    <row r="300" spans="2:16" ht="14.25" customHeight="1" x14ac:dyDescent="0.3">
      <c r="B300" s="7" t="str">
        <f>+B123</f>
        <v>Intangibles (equipo - IPME)</v>
      </c>
      <c r="C300" s="4"/>
      <c r="D300" s="6"/>
      <c r="E300" s="6"/>
      <c r="F300" s="79"/>
      <c r="H300" s="79"/>
      <c r="I300" s="79"/>
      <c r="J300" s="79"/>
      <c r="K300" s="79"/>
      <c r="L300" s="79"/>
      <c r="M300" s="79"/>
      <c r="N300" s="79"/>
      <c r="O300" s="79"/>
      <c r="P300" s="79"/>
    </row>
    <row r="301" spans="2:16" ht="14.25" customHeight="1" x14ac:dyDescent="0.3">
      <c r="C301" s="4" t="str">
        <f t="shared" si="276"/>
        <v xml:space="preserve">Grúas móviles (MHC) </v>
      </c>
      <c r="D301" s="6" t="s">
        <v>41</v>
      </c>
      <c r="E301" s="6" t="s">
        <v>17</v>
      </c>
      <c r="F301" s="79">
        <f t="shared" si="285"/>
        <v>23.21168903957583</v>
      </c>
      <c r="H301" s="79">
        <f t="shared" ref="H301:P301" si="290">+(H$7*G$184+H124*H$184-(H$184-G$184))/(1-IR)</f>
        <v>20.440436746980708</v>
      </c>
      <c r="I301" s="79">
        <f t="shared" si="290"/>
        <v>18.571505445493333</v>
      </c>
      <c r="J301" s="79">
        <f t="shared" si="290"/>
        <v>24.979078825591575</v>
      </c>
      <c r="K301" s="79">
        <f t="shared" si="290"/>
        <v>24.981152451870415</v>
      </c>
      <c r="L301" s="79">
        <f t="shared" si="290"/>
        <v>28.290755509367635</v>
      </c>
      <c r="M301" s="79">
        <f t="shared" si="290"/>
        <v>24.540620023086127</v>
      </c>
      <c r="N301" s="79">
        <f t="shared" si="290"/>
        <v>21.147215564426418</v>
      </c>
      <c r="O301" s="79">
        <f t="shared" si="290"/>
        <v>23.225239431492081</v>
      </c>
      <c r="P301" s="79">
        <f t="shared" si="290"/>
        <v>22.729197357874238</v>
      </c>
    </row>
    <row r="302" spans="2:16" ht="14.25" customHeight="1" x14ac:dyDescent="0.3">
      <c r="C302" s="4" t="str">
        <f t="shared" si="276"/>
        <v xml:space="preserve">Empty handler (EH) </v>
      </c>
      <c r="D302" s="6" t="s">
        <v>41</v>
      </c>
      <c r="E302" s="6" t="s">
        <v>17</v>
      </c>
      <c r="F302" s="79">
        <f t="shared" si="285"/>
        <v>27.979562795534576</v>
      </c>
      <c r="H302" s="79">
        <f t="shared" ref="H302:P302" si="291">+(H$7*G$184+H125*H$184-(H$184-G$184))/(1-IR)</f>
        <v>25.202341508885468</v>
      </c>
      <c r="I302" s="79">
        <f t="shared" si="291"/>
        <v>23.487765730720554</v>
      </c>
      <c r="J302" s="79">
        <f t="shared" si="291"/>
        <v>29.882495346076816</v>
      </c>
      <c r="K302" s="79">
        <f t="shared" si="291"/>
        <v>29.858694117465706</v>
      </c>
      <c r="L302" s="79">
        <f t="shared" si="291"/>
        <v>33.005283766691299</v>
      </c>
      <c r="M302" s="79">
        <f t="shared" si="291"/>
        <v>29.193824119778114</v>
      </c>
      <c r="N302" s="79">
        <f t="shared" si="291"/>
        <v>25.850076040783321</v>
      </c>
      <c r="O302" s="79">
        <f t="shared" si="291"/>
        <v>27.915182537578726</v>
      </c>
      <c r="P302" s="79">
        <f t="shared" si="291"/>
        <v>27.420401991831177</v>
      </c>
    </row>
    <row r="303" spans="2:16" ht="14.25" customHeight="1" x14ac:dyDescent="0.3">
      <c r="C303" s="4" t="str">
        <f t="shared" si="276"/>
        <v xml:space="preserve">Reach Stacker (RS) </v>
      </c>
      <c r="D303" s="6" t="s">
        <v>41</v>
      </c>
      <c r="E303" s="6" t="s">
        <v>17</v>
      </c>
      <c r="F303" s="79">
        <f t="shared" si="285"/>
        <v>27.979562795534576</v>
      </c>
      <c r="H303" s="79">
        <f t="shared" ref="H303:P303" si="292">+(H$7*G$184+H126*H$184-(H$184-G$184))/(1-IR)</f>
        <v>25.202341508885468</v>
      </c>
      <c r="I303" s="79">
        <f t="shared" si="292"/>
        <v>23.487765730720554</v>
      </c>
      <c r="J303" s="79">
        <f t="shared" si="292"/>
        <v>29.882495346076816</v>
      </c>
      <c r="K303" s="79">
        <f t="shared" si="292"/>
        <v>29.858694117465706</v>
      </c>
      <c r="L303" s="79">
        <f t="shared" si="292"/>
        <v>33.005283766691299</v>
      </c>
      <c r="M303" s="79">
        <f t="shared" si="292"/>
        <v>29.193824119778114</v>
      </c>
      <c r="N303" s="79">
        <f t="shared" si="292"/>
        <v>25.850076040783321</v>
      </c>
      <c r="O303" s="79">
        <f t="shared" si="292"/>
        <v>27.915182537578726</v>
      </c>
      <c r="P303" s="79">
        <f t="shared" si="292"/>
        <v>27.420401991831177</v>
      </c>
    </row>
    <row r="304" spans="2:16" ht="14.25" customHeight="1" x14ac:dyDescent="0.3">
      <c r="C304" s="4" t="str">
        <f t="shared" si="276"/>
        <v>Bulldozer</v>
      </c>
      <c r="D304" s="6" t="s">
        <v>41</v>
      </c>
      <c r="E304" s="6" t="s">
        <v>17</v>
      </c>
      <c r="F304" s="79">
        <f t="shared" ref="F304:F335" si="293">+AVERAGEIF(H304:P304,no_cero)</f>
        <v>34.109686196052948</v>
      </c>
      <c r="H304" s="79">
        <f t="shared" ref="H304:P304" si="294">+(H$7*G$184+H127*H$184-(H$184-G$184))/(1-IR)</f>
        <v>31.324790488477305</v>
      </c>
      <c r="I304" s="79">
        <f t="shared" si="294"/>
        <v>29.808671811726985</v>
      </c>
      <c r="J304" s="79">
        <f t="shared" si="294"/>
        <v>36.18688801527211</v>
      </c>
      <c r="K304" s="79">
        <f t="shared" si="294"/>
        <v>36.129819116088214</v>
      </c>
      <c r="L304" s="79">
        <f t="shared" si="294"/>
        <v>39.066820097536016</v>
      </c>
      <c r="M304" s="79">
        <f t="shared" si="294"/>
        <v>35.176515101239225</v>
      </c>
      <c r="N304" s="79">
        <f t="shared" si="294"/>
        <v>31.896610938956481</v>
      </c>
      <c r="O304" s="79">
        <f t="shared" si="294"/>
        <v>33.945109388261557</v>
      </c>
      <c r="P304" s="79">
        <f t="shared" si="294"/>
        <v>33.45195080691866</v>
      </c>
    </row>
    <row r="305" spans="3:16" ht="14.25" customHeight="1" x14ac:dyDescent="0.3">
      <c r="C305" s="4" t="str">
        <f t="shared" si="276"/>
        <v>Camionetas pick up</v>
      </c>
      <c r="D305" s="6" t="s">
        <v>41</v>
      </c>
      <c r="E305" s="6" t="s">
        <v>17</v>
      </c>
      <c r="F305" s="79">
        <f t="shared" si="293"/>
        <v>42.283184063410793</v>
      </c>
      <c r="H305" s="79">
        <f t="shared" ref="H305:P305" si="295">+(H$7*G$184+H128*H$184-(H$184-G$184))/(1-IR)</f>
        <v>39.488055794599752</v>
      </c>
      <c r="I305" s="79">
        <f t="shared" si="295"/>
        <v>38.23654658640222</v>
      </c>
      <c r="J305" s="79">
        <f t="shared" si="295"/>
        <v>44.59274490753252</v>
      </c>
      <c r="K305" s="79">
        <f t="shared" si="295"/>
        <v>44.491319114251567</v>
      </c>
      <c r="L305" s="79">
        <f t="shared" si="295"/>
        <v>47.148868538662313</v>
      </c>
      <c r="M305" s="79">
        <f t="shared" si="295"/>
        <v>43.153436409854059</v>
      </c>
      <c r="N305" s="79">
        <f t="shared" si="295"/>
        <v>39.958657469854032</v>
      </c>
      <c r="O305" s="79">
        <f t="shared" si="295"/>
        <v>41.985011855838664</v>
      </c>
      <c r="P305" s="79">
        <f t="shared" si="295"/>
        <v>41.494015893701985</v>
      </c>
    </row>
    <row r="306" spans="3:16" ht="14.25" customHeight="1" x14ac:dyDescent="0.3">
      <c r="C306" s="4" t="str">
        <f t="shared" si="276"/>
        <v>Camionetas panel</v>
      </c>
      <c r="D306" s="6" t="s">
        <v>41</v>
      </c>
      <c r="E306" s="6" t="s">
        <v>17</v>
      </c>
      <c r="F306" s="79">
        <f t="shared" si="293"/>
        <v>42.283184063410793</v>
      </c>
      <c r="H306" s="79">
        <f t="shared" ref="H306:P306" si="296">+(H$7*G$184+H129*H$184-(H$184-G$184))/(1-IR)</f>
        <v>39.488055794599752</v>
      </c>
      <c r="I306" s="79">
        <f t="shared" si="296"/>
        <v>38.23654658640222</v>
      </c>
      <c r="J306" s="79">
        <f t="shared" si="296"/>
        <v>44.59274490753252</v>
      </c>
      <c r="K306" s="79">
        <f t="shared" si="296"/>
        <v>44.491319114251567</v>
      </c>
      <c r="L306" s="79">
        <f t="shared" si="296"/>
        <v>47.148868538662313</v>
      </c>
      <c r="M306" s="79">
        <f t="shared" si="296"/>
        <v>43.153436409854059</v>
      </c>
      <c r="N306" s="79">
        <f t="shared" si="296"/>
        <v>39.958657469854032</v>
      </c>
      <c r="O306" s="79">
        <f t="shared" si="296"/>
        <v>41.985011855838664</v>
      </c>
      <c r="P306" s="79">
        <f t="shared" si="296"/>
        <v>41.494015893701985</v>
      </c>
    </row>
    <row r="307" spans="3:16" ht="14.25" customHeight="1" x14ac:dyDescent="0.3">
      <c r="C307" s="4" t="str">
        <f t="shared" si="276"/>
        <v>Plataforma elevadora</v>
      </c>
      <c r="D307" s="6" t="s">
        <v>41</v>
      </c>
      <c r="E307" s="6" t="s">
        <v>17</v>
      </c>
      <c r="F307" s="79">
        <f t="shared" si="293"/>
        <v>34.109686196052948</v>
      </c>
      <c r="H307" s="79">
        <f t="shared" ref="H307:P307" si="297">+(H$7*G$184+H130*H$184-(H$184-G$184))/(1-IR)</f>
        <v>31.324790488477305</v>
      </c>
      <c r="I307" s="79">
        <f t="shared" si="297"/>
        <v>29.808671811726985</v>
      </c>
      <c r="J307" s="79">
        <f t="shared" si="297"/>
        <v>36.18688801527211</v>
      </c>
      <c r="K307" s="79">
        <f t="shared" si="297"/>
        <v>36.129819116088214</v>
      </c>
      <c r="L307" s="79">
        <f t="shared" si="297"/>
        <v>39.066820097536016</v>
      </c>
      <c r="M307" s="79">
        <f t="shared" si="297"/>
        <v>35.176515101239225</v>
      </c>
      <c r="N307" s="79">
        <f t="shared" si="297"/>
        <v>31.896610938956481</v>
      </c>
      <c r="O307" s="79">
        <f t="shared" si="297"/>
        <v>33.945109388261557</v>
      </c>
      <c r="P307" s="79">
        <f t="shared" si="297"/>
        <v>33.45195080691866</v>
      </c>
    </row>
    <row r="308" spans="3:16" ht="14.25" customHeight="1" x14ac:dyDescent="0.3">
      <c r="C308" s="4" t="str">
        <f t="shared" si="276"/>
        <v>Bote E20</v>
      </c>
      <c r="D308" s="6" t="s">
        <v>41</v>
      </c>
      <c r="E308" s="6" t="s">
        <v>17</v>
      </c>
      <c r="F308" s="79">
        <f t="shared" si="293"/>
        <v>34.109686196052948</v>
      </c>
      <c r="H308" s="79">
        <f t="shared" ref="H308:P308" si="298">+(H$7*G$184+H131*H$184-(H$184-G$184))/(1-IR)</f>
        <v>31.324790488477305</v>
      </c>
      <c r="I308" s="79">
        <f t="shared" si="298"/>
        <v>29.808671811726985</v>
      </c>
      <c r="J308" s="79">
        <f t="shared" si="298"/>
        <v>36.18688801527211</v>
      </c>
      <c r="K308" s="79">
        <f t="shared" si="298"/>
        <v>36.129819116088214</v>
      </c>
      <c r="L308" s="79">
        <f t="shared" si="298"/>
        <v>39.066820097536016</v>
      </c>
      <c r="M308" s="79">
        <f t="shared" si="298"/>
        <v>35.176515101239225</v>
      </c>
      <c r="N308" s="79">
        <f t="shared" si="298"/>
        <v>31.896610938956481</v>
      </c>
      <c r="O308" s="79">
        <f t="shared" si="298"/>
        <v>33.945109388261557</v>
      </c>
      <c r="P308" s="79">
        <f t="shared" si="298"/>
        <v>33.45195080691866</v>
      </c>
    </row>
    <row r="309" spans="3:16" ht="14.25" customHeight="1" x14ac:dyDescent="0.3">
      <c r="C309" s="4" t="str">
        <f t="shared" si="276"/>
        <v>Camión 5 tons</v>
      </c>
      <c r="D309" s="6" t="s">
        <v>41</v>
      </c>
      <c r="E309" s="6" t="s">
        <v>17</v>
      </c>
      <c r="F309" s="79">
        <f t="shared" si="293"/>
        <v>42.283184063410793</v>
      </c>
      <c r="H309" s="79">
        <f t="shared" ref="H309:P309" si="299">+(H$7*G$184+H132*H$184-(H$184-G$184))/(1-IR)</f>
        <v>39.488055794599752</v>
      </c>
      <c r="I309" s="79">
        <f t="shared" si="299"/>
        <v>38.23654658640222</v>
      </c>
      <c r="J309" s="79">
        <f t="shared" si="299"/>
        <v>44.59274490753252</v>
      </c>
      <c r="K309" s="79">
        <f t="shared" si="299"/>
        <v>44.491319114251567</v>
      </c>
      <c r="L309" s="79">
        <f t="shared" si="299"/>
        <v>47.148868538662313</v>
      </c>
      <c r="M309" s="79">
        <f t="shared" si="299"/>
        <v>43.153436409854059</v>
      </c>
      <c r="N309" s="79">
        <f t="shared" si="299"/>
        <v>39.958657469854032</v>
      </c>
      <c r="O309" s="79">
        <f t="shared" si="299"/>
        <v>41.985011855838664</v>
      </c>
      <c r="P309" s="79">
        <f t="shared" si="299"/>
        <v>41.494015893701985</v>
      </c>
    </row>
    <row r="310" spans="3:16" ht="14.25" customHeight="1" x14ac:dyDescent="0.3">
      <c r="C310" s="4" t="str">
        <f t="shared" si="276"/>
        <v>Camión barredor</v>
      </c>
      <c r="D310" s="6" t="s">
        <v>41</v>
      </c>
      <c r="E310" s="6" t="s">
        <v>17</v>
      </c>
      <c r="F310" s="79">
        <f t="shared" si="293"/>
        <v>42.283184063410793</v>
      </c>
      <c r="H310" s="79">
        <f t="shared" ref="H310:P310" si="300">+(H$7*G$184+H133*H$184-(H$184-G$184))/(1-IR)</f>
        <v>39.488055794599752</v>
      </c>
      <c r="I310" s="79">
        <f t="shared" si="300"/>
        <v>38.23654658640222</v>
      </c>
      <c r="J310" s="79">
        <f>+(J$7*I$184+J133*J$184-(J$184-I$184))/(1-IR)</f>
        <v>44.59274490753252</v>
      </c>
      <c r="K310" s="79">
        <f t="shared" si="300"/>
        <v>44.491319114251567</v>
      </c>
      <c r="L310" s="79">
        <f t="shared" si="300"/>
        <v>47.148868538662313</v>
      </c>
      <c r="M310" s="79">
        <f t="shared" si="300"/>
        <v>43.153436409854059</v>
      </c>
      <c r="N310" s="79">
        <f t="shared" si="300"/>
        <v>39.958657469854032</v>
      </c>
      <c r="O310" s="79">
        <f t="shared" si="300"/>
        <v>41.985011855838664</v>
      </c>
      <c r="P310" s="79">
        <f t="shared" si="300"/>
        <v>41.494015893701985</v>
      </c>
    </row>
    <row r="311" spans="3:16" ht="14.25" customHeight="1" x14ac:dyDescent="0.3">
      <c r="C311" s="4" t="str">
        <f t="shared" si="276"/>
        <v>Terminal Tractor</v>
      </c>
      <c r="D311" s="6" t="s">
        <v>41</v>
      </c>
      <c r="E311" s="6" t="s">
        <v>17</v>
      </c>
      <c r="F311" s="79">
        <f t="shared" si="293"/>
        <v>34.109686196052948</v>
      </c>
      <c r="H311" s="79">
        <f t="shared" ref="H311:P311" si="301">+(H$7*G$184+H134*H$184-(H$184-G$184))/(1-IR)</f>
        <v>31.324790488477305</v>
      </c>
      <c r="I311" s="79">
        <f t="shared" si="301"/>
        <v>29.808671811726985</v>
      </c>
      <c r="J311" s="79">
        <f t="shared" si="301"/>
        <v>36.18688801527211</v>
      </c>
      <c r="K311" s="79">
        <f t="shared" si="301"/>
        <v>36.129819116088214</v>
      </c>
      <c r="L311" s="79">
        <f t="shared" si="301"/>
        <v>39.066820097536016</v>
      </c>
      <c r="M311" s="79">
        <f t="shared" si="301"/>
        <v>35.176515101239225</v>
      </c>
      <c r="N311" s="79">
        <f t="shared" si="301"/>
        <v>31.896610938956481</v>
      </c>
      <c r="O311" s="79">
        <f t="shared" si="301"/>
        <v>33.945109388261557</v>
      </c>
      <c r="P311" s="79">
        <f t="shared" si="301"/>
        <v>33.45195080691866</v>
      </c>
    </row>
    <row r="312" spans="3:16" ht="14.25" customHeight="1" x14ac:dyDescent="0.3">
      <c r="C312" s="4" t="str">
        <f t="shared" si="276"/>
        <v>Plataforma (Trailer)</v>
      </c>
      <c r="D312" s="6" t="s">
        <v>41</v>
      </c>
      <c r="E312" s="6" t="s">
        <v>17</v>
      </c>
      <c r="F312" s="79">
        <f t="shared" si="293"/>
        <v>34.109686196052948</v>
      </c>
      <c r="H312" s="79">
        <f t="shared" ref="H312:P312" si="302">+(H$7*G$184+H135*H$184-(H$184-G$184))/(1-IR)</f>
        <v>31.324790488477305</v>
      </c>
      <c r="I312" s="79">
        <f t="shared" si="302"/>
        <v>29.808671811726985</v>
      </c>
      <c r="J312" s="79">
        <f t="shared" si="302"/>
        <v>36.18688801527211</v>
      </c>
      <c r="K312" s="79">
        <f t="shared" si="302"/>
        <v>36.129819116088214</v>
      </c>
      <c r="L312" s="79">
        <f t="shared" si="302"/>
        <v>39.066820097536016</v>
      </c>
      <c r="M312" s="79">
        <f t="shared" si="302"/>
        <v>35.176515101239225</v>
      </c>
      <c r="N312" s="79">
        <f t="shared" si="302"/>
        <v>31.896610938956481</v>
      </c>
      <c r="O312" s="79">
        <f t="shared" si="302"/>
        <v>33.945109388261557</v>
      </c>
      <c r="P312" s="79">
        <f t="shared" si="302"/>
        <v>33.45195080691866</v>
      </c>
    </row>
    <row r="313" spans="3:16" ht="14.25" customHeight="1" x14ac:dyDescent="0.3">
      <c r="C313" s="4" t="str">
        <f t="shared" si="276"/>
        <v>STS</v>
      </c>
      <c r="D313" s="6" t="s">
        <v>41</v>
      </c>
      <c r="E313" s="6" t="s">
        <v>17</v>
      </c>
      <c r="F313" s="79">
        <f t="shared" si="293"/>
        <v>20.827752161596468</v>
      </c>
      <c r="H313" s="79">
        <f t="shared" ref="H313:P313" si="303">+(H$7*G$184+H136*H$184-(H$184-G$184))/(1-IR)</f>
        <v>18.059484366028325</v>
      </c>
      <c r="I313" s="79">
        <f t="shared" si="303"/>
        <v>16.113375302879724</v>
      </c>
      <c r="J313" s="79">
        <f t="shared" si="303"/>
        <v>22.527370565348956</v>
      </c>
      <c r="K313" s="79">
        <f t="shared" si="303"/>
        <v>22.542381619072774</v>
      </c>
      <c r="L313" s="79">
        <f t="shared" si="303"/>
        <v>25.933491380705799</v>
      </c>
      <c r="M313" s="79">
        <f t="shared" si="303"/>
        <v>22.214017974740141</v>
      </c>
      <c r="N313" s="79">
        <f t="shared" si="303"/>
        <v>18.795785326247969</v>
      </c>
      <c r="O313" s="79">
        <f t="shared" si="303"/>
        <v>20.880267878448763</v>
      </c>
      <c r="P313" s="79">
        <f t="shared" si="303"/>
        <v>20.38359504089577</v>
      </c>
    </row>
    <row r="314" spans="3:16" ht="14.25" customHeight="1" x14ac:dyDescent="0.3">
      <c r="C314" s="4" t="str">
        <f t="shared" si="276"/>
        <v>STS spreader</v>
      </c>
      <c r="D314" s="6" t="s">
        <v>41</v>
      </c>
      <c r="E314" s="6" t="s">
        <v>17</v>
      </c>
      <c r="F314" s="79">
        <f t="shared" si="293"/>
        <v>34.109686196052948</v>
      </c>
      <c r="H314" s="79">
        <f t="shared" ref="H314:P314" si="304">+(H$7*G$184+H137*H$184-(H$184-G$184))/(1-IR)</f>
        <v>31.324790488477305</v>
      </c>
      <c r="I314" s="79">
        <f t="shared" si="304"/>
        <v>29.808671811726985</v>
      </c>
      <c r="J314" s="79">
        <f t="shared" si="304"/>
        <v>36.18688801527211</v>
      </c>
      <c r="K314" s="79">
        <f t="shared" si="304"/>
        <v>36.129819116088214</v>
      </c>
      <c r="L314" s="79">
        <f t="shared" si="304"/>
        <v>39.066820097536016</v>
      </c>
      <c r="M314" s="79">
        <f t="shared" si="304"/>
        <v>35.176515101239225</v>
      </c>
      <c r="N314" s="79">
        <f t="shared" si="304"/>
        <v>31.896610938956481</v>
      </c>
      <c r="O314" s="79">
        <f t="shared" si="304"/>
        <v>33.945109388261557</v>
      </c>
      <c r="P314" s="79">
        <f t="shared" si="304"/>
        <v>33.45195080691866</v>
      </c>
    </row>
    <row r="315" spans="3:16" ht="14.25" customHeight="1" x14ac:dyDescent="0.3">
      <c r="C315" s="4" t="str">
        <f t="shared" si="276"/>
        <v>RTG</v>
      </c>
      <c r="D315" s="6" t="s">
        <v>41</v>
      </c>
      <c r="E315" s="6" t="s">
        <v>17</v>
      </c>
      <c r="F315" s="79">
        <f t="shared" si="293"/>
        <v>23.21168903957583</v>
      </c>
      <c r="H315" s="79">
        <f t="shared" ref="H315:P315" si="305">+(H$7*G$184+H138*H$184-(H$184-G$184))/(1-IR)</f>
        <v>20.440436746980708</v>
      </c>
      <c r="I315" s="79">
        <f t="shared" si="305"/>
        <v>18.571505445493333</v>
      </c>
      <c r="J315" s="79">
        <f t="shared" si="305"/>
        <v>24.979078825591575</v>
      </c>
      <c r="K315" s="79">
        <f t="shared" si="305"/>
        <v>24.981152451870415</v>
      </c>
      <c r="L315" s="79">
        <f t="shared" si="305"/>
        <v>28.290755509367635</v>
      </c>
      <c r="M315" s="79">
        <f t="shared" si="305"/>
        <v>24.540620023086127</v>
      </c>
      <c r="N315" s="79">
        <f t="shared" si="305"/>
        <v>21.147215564426418</v>
      </c>
      <c r="O315" s="79">
        <f t="shared" si="305"/>
        <v>23.225239431492081</v>
      </c>
      <c r="P315" s="79">
        <f t="shared" si="305"/>
        <v>22.729197357874238</v>
      </c>
    </row>
    <row r="316" spans="3:16" ht="14.25" customHeight="1" x14ac:dyDescent="0.3">
      <c r="C316" s="4" t="str">
        <f t="shared" si="276"/>
        <v>RTG spreader</v>
      </c>
      <c r="D316" s="6" t="s">
        <v>41</v>
      </c>
      <c r="E316" s="6" t="s">
        <v>17</v>
      </c>
      <c r="F316" s="79">
        <f t="shared" si="293"/>
        <v>27.979562795534576</v>
      </c>
      <c r="H316" s="79">
        <f t="shared" ref="H316:P316" si="306">+(H$7*G$184+H139*H$184-(H$184-G$184))/(1-IR)</f>
        <v>25.202341508885468</v>
      </c>
      <c r="I316" s="79">
        <f t="shared" si="306"/>
        <v>23.487765730720554</v>
      </c>
      <c r="J316" s="79">
        <f t="shared" si="306"/>
        <v>29.882495346076816</v>
      </c>
      <c r="K316" s="79">
        <f t="shared" si="306"/>
        <v>29.858694117465706</v>
      </c>
      <c r="L316" s="79">
        <f t="shared" si="306"/>
        <v>33.005283766691299</v>
      </c>
      <c r="M316" s="79">
        <f t="shared" si="306"/>
        <v>29.193824119778114</v>
      </c>
      <c r="N316" s="79">
        <f t="shared" si="306"/>
        <v>25.850076040783321</v>
      </c>
      <c r="O316" s="79">
        <f t="shared" si="306"/>
        <v>27.915182537578726</v>
      </c>
      <c r="P316" s="79">
        <f t="shared" si="306"/>
        <v>27.420401991831177</v>
      </c>
    </row>
    <row r="317" spans="3:16" ht="14.25" customHeight="1" x14ac:dyDescent="0.3">
      <c r="C317" s="4" t="str">
        <f t="shared" si="276"/>
        <v>Montacargas</v>
      </c>
      <c r="D317" s="6" t="s">
        <v>41</v>
      </c>
      <c r="E317" s="6" t="s">
        <v>17</v>
      </c>
      <c r="F317" s="79">
        <f t="shared" si="293"/>
        <v>34.109686196052948</v>
      </c>
      <c r="H317" s="79">
        <f t="shared" ref="H317:P317" si="307">+(H$7*G$184+H140*H$184-(H$184-G$184))/(1-IR)</f>
        <v>31.324790488477305</v>
      </c>
      <c r="I317" s="79">
        <f t="shared" si="307"/>
        <v>29.808671811726985</v>
      </c>
      <c r="J317" s="79">
        <f t="shared" si="307"/>
        <v>36.18688801527211</v>
      </c>
      <c r="K317" s="79">
        <f t="shared" si="307"/>
        <v>36.129819116088214</v>
      </c>
      <c r="L317" s="79">
        <f t="shared" si="307"/>
        <v>39.066820097536016</v>
      </c>
      <c r="M317" s="79">
        <f t="shared" si="307"/>
        <v>35.176515101239225</v>
      </c>
      <c r="N317" s="79">
        <f t="shared" si="307"/>
        <v>31.896610938956481</v>
      </c>
      <c r="O317" s="79">
        <f t="shared" si="307"/>
        <v>33.945109388261557</v>
      </c>
      <c r="P317" s="79">
        <f t="shared" si="307"/>
        <v>33.45195080691866</v>
      </c>
    </row>
    <row r="318" spans="3:16" ht="14.25" customHeight="1" x14ac:dyDescent="0.3">
      <c r="C318" s="4" t="str">
        <f t="shared" si="276"/>
        <v>Tolvas</v>
      </c>
      <c r="D318" s="6" t="s">
        <v>41</v>
      </c>
      <c r="E318" s="6" t="s">
        <v>17</v>
      </c>
      <c r="F318" s="79">
        <f t="shared" si="293"/>
        <v>23.21168903957583</v>
      </c>
      <c r="H318" s="79">
        <f t="shared" ref="H318:P318" si="308">+(H$7*G$184+H141*H$184-(H$184-G$184))/(1-IR)</f>
        <v>20.440436746980708</v>
      </c>
      <c r="I318" s="79">
        <f t="shared" si="308"/>
        <v>18.571505445493333</v>
      </c>
      <c r="J318" s="79">
        <f t="shared" si="308"/>
        <v>24.979078825591575</v>
      </c>
      <c r="K318" s="79">
        <f t="shared" si="308"/>
        <v>24.981152451870415</v>
      </c>
      <c r="L318" s="79">
        <f t="shared" si="308"/>
        <v>28.290755509367635</v>
      </c>
      <c r="M318" s="79">
        <f t="shared" si="308"/>
        <v>24.540620023086127</v>
      </c>
      <c r="N318" s="79">
        <f t="shared" si="308"/>
        <v>21.147215564426418</v>
      </c>
      <c r="O318" s="79">
        <f t="shared" si="308"/>
        <v>23.225239431492081</v>
      </c>
      <c r="P318" s="79">
        <f t="shared" si="308"/>
        <v>22.729197357874238</v>
      </c>
    </row>
    <row r="319" spans="3:16" ht="14.25" customHeight="1" x14ac:dyDescent="0.3">
      <c r="C319" s="4" t="str">
        <f t="shared" si="276"/>
        <v>Equipo absorvente granos</v>
      </c>
      <c r="D319" s="6" t="s">
        <v>41</v>
      </c>
      <c r="E319" s="6" t="s">
        <v>17</v>
      </c>
      <c r="F319" s="79">
        <f t="shared" si="293"/>
        <v>34.109686196052948</v>
      </c>
      <c r="H319" s="79">
        <f t="shared" ref="H319:P319" si="309">+(H$7*G$184+H142*H$184-(H$184-G$184))/(1-IR)</f>
        <v>31.324790488477305</v>
      </c>
      <c r="I319" s="79">
        <f t="shared" si="309"/>
        <v>29.808671811726985</v>
      </c>
      <c r="J319" s="79">
        <f t="shared" si="309"/>
        <v>36.18688801527211</v>
      </c>
      <c r="K319" s="79">
        <f t="shared" si="309"/>
        <v>36.129819116088214</v>
      </c>
      <c r="L319" s="79">
        <f t="shared" si="309"/>
        <v>39.066820097536016</v>
      </c>
      <c r="M319" s="79">
        <f t="shared" si="309"/>
        <v>35.176515101239225</v>
      </c>
      <c r="N319" s="79">
        <f t="shared" si="309"/>
        <v>31.896610938956481</v>
      </c>
      <c r="O319" s="79">
        <f t="shared" si="309"/>
        <v>33.945109388261557</v>
      </c>
      <c r="P319" s="79">
        <f t="shared" si="309"/>
        <v>33.45195080691866</v>
      </c>
    </row>
    <row r="320" spans="3:16" ht="14.25" customHeight="1" x14ac:dyDescent="0.3">
      <c r="C320" s="4" t="str">
        <f t="shared" ref="C320:C353" si="310">+C143</f>
        <v xml:space="preserve">Conveyor </v>
      </c>
      <c r="D320" s="6" t="s">
        <v>41</v>
      </c>
      <c r="E320" s="6" t="s">
        <v>17</v>
      </c>
      <c r="F320" s="79">
        <f t="shared" si="293"/>
        <v>23.21168903957583</v>
      </c>
      <c r="H320" s="79">
        <f t="shared" ref="H320:P320" si="311">+(H$7*G$184+H143*H$184-(H$184-G$184))/(1-IR)</f>
        <v>20.440436746980708</v>
      </c>
      <c r="I320" s="79">
        <f t="shared" si="311"/>
        <v>18.571505445493333</v>
      </c>
      <c r="J320" s="79">
        <f t="shared" si="311"/>
        <v>24.979078825591575</v>
      </c>
      <c r="K320" s="79">
        <f t="shared" si="311"/>
        <v>24.981152451870415</v>
      </c>
      <c r="L320" s="79">
        <f t="shared" si="311"/>
        <v>28.290755509367635</v>
      </c>
      <c r="M320" s="79">
        <f t="shared" si="311"/>
        <v>24.540620023086127</v>
      </c>
      <c r="N320" s="79">
        <f t="shared" si="311"/>
        <v>21.147215564426418</v>
      </c>
      <c r="O320" s="79">
        <f t="shared" si="311"/>
        <v>23.225239431492081</v>
      </c>
      <c r="P320" s="79">
        <f t="shared" si="311"/>
        <v>22.729197357874238</v>
      </c>
    </row>
    <row r="321" spans="3:16" ht="14.25" customHeight="1" x14ac:dyDescent="0.3">
      <c r="C321" s="4" t="str">
        <f t="shared" si="310"/>
        <v>Remolque para residuos</v>
      </c>
      <c r="D321" s="6" t="s">
        <v>41</v>
      </c>
      <c r="E321" s="6" t="s">
        <v>17</v>
      </c>
      <c r="F321" s="79">
        <f t="shared" si="293"/>
        <v>34.109686196052948</v>
      </c>
      <c r="H321" s="79">
        <f t="shared" ref="H321:P321" si="312">+(H$7*G$184+H144*H$184-(H$184-G$184))/(1-IR)</f>
        <v>31.324790488477305</v>
      </c>
      <c r="I321" s="79">
        <f t="shared" si="312"/>
        <v>29.808671811726985</v>
      </c>
      <c r="J321" s="79">
        <f t="shared" si="312"/>
        <v>36.18688801527211</v>
      </c>
      <c r="K321" s="79">
        <f t="shared" si="312"/>
        <v>36.129819116088214</v>
      </c>
      <c r="L321" s="79">
        <f t="shared" si="312"/>
        <v>39.066820097536016</v>
      </c>
      <c r="M321" s="79">
        <f t="shared" si="312"/>
        <v>35.176515101239225</v>
      </c>
      <c r="N321" s="79">
        <f t="shared" si="312"/>
        <v>31.896610938956481</v>
      </c>
      <c r="O321" s="79">
        <f t="shared" si="312"/>
        <v>33.945109388261557</v>
      </c>
      <c r="P321" s="79">
        <f t="shared" si="312"/>
        <v>33.45195080691866</v>
      </c>
    </row>
    <row r="322" spans="3:16" ht="14.25" customHeight="1" x14ac:dyDescent="0.3">
      <c r="C322" s="4" t="str">
        <f t="shared" si="310"/>
        <v xml:space="preserve">Software - Edificio administrativo </v>
      </c>
      <c r="D322" s="6" t="s">
        <v>41</v>
      </c>
      <c r="E322" s="6" t="s">
        <v>17</v>
      </c>
      <c r="F322" s="79">
        <f t="shared" si="293"/>
        <v>61.354679087245735</v>
      </c>
      <c r="H322" s="79">
        <f t="shared" ref="H322:P322" si="313">+(H$7*G$184+H145*H$184-(H$184-G$184))/(1-IR)</f>
        <v>58.535674842218803</v>
      </c>
      <c r="I322" s="79">
        <f t="shared" si="313"/>
        <v>57.901587727311103</v>
      </c>
      <c r="J322" s="79">
        <f t="shared" si="313"/>
        <v>64.206410989473454</v>
      </c>
      <c r="K322" s="79">
        <f t="shared" si="313"/>
        <v>64.001485776632691</v>
      </c>
      <c r="L322" s="79">
        <f t="shared" si="313"/>
        <v>66.00698156795697</v>
      </c>
      <c r="M322" s="79">
        <f t="shared" si="313"/>
        <v>61.766252796621977</v>
      </c>
      <c r="N322" s="79">
        <f t="shared" si="313"/>
        <v>58.770099375281632</v>
      </c>
      <c r="O322" s="79">
        <f t="shared" si="313"/>
        <v>60.744784280185236</v>
      </c>
      <c r="P322" s="79">
        <f t="shared" si="313"/>
        <v>60.258834429529728</v>
      </c>
    </row>
    <row r="323" spans="3:16" ht="14.25" customHeight="1" x14ac:dyDescent="0.3">
      <c r="C323" s="4" t="str">
        <f t="shared" si="310"/>
        <v>Optimización informática</v>
      </c>
      <c r="D323" s="6" t="s">
        <v>41</v>
      </c>
      <c r="E323" s="6" t="s">
        <v>17</v>
      </c>
      <c r="F323" s="79">
        <f t="shared" si="293"/>
        <v>61.354679087245735</v>
      </c>
      <c r="H323" s="79">
        <f t="shared" ref="H323:P323" si="314">+(H$7*G$184+H146*H$184-(H$184-G$184))/(1-IR)</f>
        <v>58.535674842218803</v>
      </c>
      <c r="I323" s="79">
        <f t="shared" si="314"/>
        <v>57.901587727311103</v>
      </c>
      <c r="J323" s="79">
        <f t="shared" si="314"/>
        <v>64.206410989473454</v>
      </c>
      <c r="K323" s="79">
        <f t="shared" si="314"/>
        <v>64.001485776632691</v>
      </c>
      <c r="L323" s="79">
        <f t="shared" si="314"/>
        <v>66.00698156795697</v>
      </c>
      <c r="M323" s="79">
        <f t="shared" si="314"/>
        <v>61.766252796621977</v>
      </c>
      <c r="N323" s="79">
        <f t="shared" si="314"/>
        <v>58.770099375281632</v>
      </c>
      <c r="O323" s="79">
        <f t="shared" si="314"/>
        <v>60.744784280185236</v>
      </c>
      <c r="P323" s="79">
        <f t="shared" si="314"/>
        <v>60.258834429529728</v>
      </c>
    </row>
    <row r="324" spans="3:16" ht="14.25" customHeight="1" x14ac:dyDescent="0.3">
      <c r="C324" s="4" t="str">
        <f t="shared" si="310"/>
        <v>Reefer rack (modificación estructura)</v>
      </c>
      <c r="D324" s="6" t="s">
        <v>41</v>
      </c>
      <c r="E324" s="6" t="s">
        <v>17</v>
      </c>
      <c r="F324" s="79">
        <f t="shared" si="293"/>
        <v>20.827752161596468</v>
      </c>
      <c r="H324" s="79">
        <f t="shared" ref="H324:P324" si="315">+(H$7*G$184+H147*H$184-(H$184-G$184))/(1-IR)</f>
        <v>18.059484366028325</v>
      </c>
      <c r="I324" s="79">
        <f t="shared" si="315"/>
        <v>16.113375302879724</v>
      </c>
      <c r="J324" s="79">
        <f t="shared" si="315"/>
        <v>22.527370565348956</v>
      </c>
      <c r="K324" s="79">
        <f t="shared" si="315"/>
        <v>22.542381619072774</v>
      </c>
      <c r="L324" s="79">
        <f t="shared" si="315"/>
        <v>25.933491380705799</v>
      </c>
      <c r="M324" s="79">
        <f t="shared" si="315"/>
        <v>22.214017974740141</v>
      </c>
      <c r="N324" s="79">
        <f t="shared" si="315"/>
        <v>18.795785326247969</v>
      </c>
      <c r="O324" s="79">
        <f t="shared" si="315"/>
        <v>20.880267878448763</v>
      </c>
      <c r="P324" s="79">
        <f t="shared" si="315"/>
        <v>20.38359504089577</v>
      </c>
    </row>
    <row r="325" spans="3:16" ht="14.25" customHeight="1" x14ac:dyDescent="0.3">
      <c r="C325" s="4" t="str">
        <f t="shared" si="310"/>
        <v>Plataforma (Trailer)</v>
      </c>
      <c r="D325" s="6" t="s">
        <v>41</v>
      </c>
      <c r="E325" s="6" t="s">
        <v>17</v>
      </c>
      <c r="F325" s="79">
        <f t="shared" si="293"/>
        <v>34.109686196052948</v>
      </c>
      <c r="H325" s="79">
        <f t="shared" ref="H325:P325" si="316">+(H$7*G$184+H148*H$184-(H$184-G$184))/(1-IR)</f>
        <v>31.324790488477305</v>
      </c>
      <c r="I325" s="79">
        <f t="shared" si="316"/>
        <v>29.808671811726985</v>
      </c>
      <c r="J325" s="79">
        <f t="shared" si="316"/>
        <v>36.18688801527211</v>
      </c>
      <c r="K325" s="79">
        <f t="shared" si="316"/>
        <v>36.129819116088214</v>
      </c>
      <c r="L325" s="79">
        <f t="shared" si="316"/>
        <v>39.066820097536016</v>
      </c>
      <c r="M325" s="79">
        <f t="shared" si="316"/>
        <v>35.176515101239225</v>
      </c>
      <c r="N325" s="79">
        <f t="shared" si="316"/>
        <v>31.896610938956481</v>
      </c>
      <c r="O325" s="79">
        <f t="shared" si="316"/>
        <v>33.945109388261557</v>
      </c>
      <c r="P325" s="79">
        <f t="shared" si="316"/>
        <v>33.45195080691866</v>
      </c>
    </row>
    <row r="326" spans="3:16" ht="14.25" customHeight="1" x14ac:dyDescent="0.3">
      <c r="C326" s="4" t="str">
        <f t="shared" si="310"/>
        <v>Montacargas</v>
      </c>
      <c r="D326" s="6" t="s">
        <v>41</v>
      </c>
      <c r="E326" s="6" t="s">
        <v>17</v>
      </c>
      <c r="F326" s="79">
        <f t="shared" si="293"/>
        <v>34.109686196052948</v>
      </c>
      <c r="H326" s="79">
        <f t="shared" ref="H326:P326" si="317">+(H$7*G$184+H149*H$184-(H$184-G$184))/(1-IR)</f>
        <v>31.324790488477305</v>
      </c>
      <c r="I326" s="79">
        <f t="shared" si="317"/>
        <v>29.808671811726985</v>
      </c>
      <c r="J326" s="79">
        <f t="shared" si="317"/>
        <v>36.18688801527211</v>
      </c>
      <c r="K326" s="79">
        <f t="shared" si="317"/>
        <v>36.129819116088214</v>
      </c>
      <c r="L326" s="79">
        <f t="shared" si="317"/>
        <v>39.066820097536016</v>
      </c>
      <c r="M326" s="79">
        <f t="shared" si="317"/>
        <v>35.176515101239225</v>
      </c>
      <c r="N326" s="79">
        <f t="shared" si="317"/>
        <v>31.896610938956481</v>
      </c>
      <c r="O326" s="79">
        <f t="shared" si="317"/>
        <v>33.945109388261557</v>
      </c>
      <c r="P326" s="79">
        <f t="shared" si="317"/>
        <v>33.45195080691866</v>
      </c>
    </row>
    <row r="327" spans="3:16" ht="14.25" customHeight="1" x14ac:dyDescent="0.3">
      <c r="C327" s="4" t="str">
        <f t="shared" si="310"/>
        <v>Montacargas (camaras seguridad)</v>
      </c>
      <c r="D327" s="6" t="s">
        <v>41</v>
      </c>
      <c r="E327" s="6" t="s">
        <v>17</v>
      </c>
      <c r="F327" s="79">
        <f t="shared" si="293"/>
        <v>61.354679087245735</v>
      </c>
      <c r="H327" s="79">
        <f t="shared" ref="H327:P327" si="318">+(H$7*G$184+H150*H$184-(H$184-G$184))/(1-IR)</f>
        <v>58.535674842218803</v>
      </c>
      <c r="I327" s="79">
        <f t="shared" si="318"/>
        <v>57.901587727311103</v>
      </c>
      <c r="J327" s="79">
        <f t="shared" si="318"/>
        <v>64.206410989473454</v>
      </c>
      <c r="K327" s="79">
        <f t="shared" si="318"/>
        <v>64.001485776632691</v>
      </c>
      <c r="L327" s="79">
        <f t="shared" si="318"/>
        <v>66.00698156795697</v>
      </c>
      <c r="M327" s="79">
        <f t="shared" si="318"/>
        <v>61.766252796621977</v>
      </c>
      <c r="N327" s="79">
        <f t="shared" si="318"/>
        <v>58.770099375281632</v>
      </c>
      <c r="O327" s="79">
        <f t="shared" si="318"/>
        <v>60.744784280185236</v>
      </c>
      <c r="P327" s="79">
        <f t="shared" si="318"/>
        <v>60.258834429529728</v>
      </c>
    </row>
    <row r="328" spans="3:16" ht="14.25" customHeight="1" x14ac:dyDescent="0.3">
      <c r="C328" s="4" t="str">
        <f t="shared" si="310"/>
        <v>Tolvas</v>
      </c>
      <c r="D328" s="6" t="s">
        <v>41</v>
      </c>
      <c r="E328" s="6" t="s">
        <v>17</v>
      </c>
      <c r="F328" s="79">
        <f t="shared" si="293"/>
        <v>23.21168903957583</v>
      </c>
      <c r="H328" s="79">
        <f t="shared" ref="H328:P328" si="319">+(H$7*G$184+H151*H$184-(H$184-G$184))/(1-IR)</f>
        <v>20.440436746980708</v>
      </c>
      <c r="I328" s="79">
        <f t="shared" si="319"/>
        <v>18.571505445493333</v>
      </c>
      <c r="J328" s="79">
        <f t="shared" si="319"/>
        <v>24.979078825591575</v>
      </c>
      <c r="K328" s="79">
        <f t="shared" si="319"/>
        <v>24.981152451870415</v>
      </c>
      <c r="L328" s="79">
        <f t="shared" si="319"/>
        <v>28.290755509367635</v>
      </c>
      <c r="M328" s="79">
        <f t="shared" si="319"/>
        <v>24.540620023086127</v>
      </c>
      <c r="N328" s="79">
        <f t="shared" si="319"/>
        <v>21.147215564426418</v>
      </c>
      <c r="O328" s="79">
        <f t="shared" si="319"/>
        <v>23.225239431492081</v>
      </c>
      <c r="P328" s="79">
        <f t="shared" si="319"/>
        <v>22.729197357874238</v>
      </c>
    </row>
    <row r="329" spans="3:16" ht="14.25" customHeight="1" x14ac:dyDescent="0.3">
      <c r="C329" s="4" t="str">
        <f t="shared" si="310"/>
        <v>Tolvas (grupos electrogenos)</v>
      </c>
      <c r="D329" s="6" t="s">
        <v>41</v>
      </c>
      <c r="E329" s="6" t="s">
        <v>17</v>
      </c>
      <c r="F329" s="79">
        <f t="shared" si="293"/>
        <v>34.109686196052948</v>
      </c>
      <c r="H329" s="79">
        <f t="shared" ref="H329:P329" si="320">+(H$7*G$184+H152*H$184-(H$184-G$184))/(1-IR)</f>
        <v>31.324790488477305</v>
      </c>
      <c r="I329" s="79">
        <f t="shared" si="320"/>
        <v>29.808671811726985</v>
      </c>
      <c r="J329" s="79">
        <f t="shared" si="320"/>
        <v>36.18688801527211</v>
      </c>
      <c r="K329" s="79">
        <f t="shared" si="320"/>
        <v>36.129819116088214</v>
      </c>
      <c r="L329" s="79">
        <f t="shared" si="320"/>
        <v>39.066820097536016</v>
      </c>
      <c r="M329" s="79">
        <f t="shared" si="320"/>
        <v>35.176515101239225</v>
      </c>
      <c r="N329" s="79">
        <f t="shared" si="320"/>
        <v>31.896610938956481</v>
      </c>
      <c r="O329" s="79">
        <f t="shared" si="320"/>
        <v>33.945109388261557</v>
      </c>
      <c r="P329" s="79">
        <f t="shared" si="320"/>
        <v>33.45195080691866</v>
      </c>
    </row>
    <row r="330" spans="3:16" ht="14.25" customHeight="1" x14ac:dyDescent="0.3">
      <c r="C330" s="4" t="str">
        <f t="shared" si="310"/>
        <v>Minicargador</v>
      </c>
      <c r="D330" s="6" t="s">
        <v>41</v>
      </c>
      <c r="E330" s="6" t="s">
        <v>17</v>
      </c>
      <c r="F330" s="79">
        <f t="shared" si="293"/>
        <v>34.109686196052948</v>
      </c>
      <c r="H330" s="79">
        <f t="shared" ref="H330:P330" si="321">+(H$7*G$184+H153*H$184-(H$184-G$184))/(1-IR)</f>
        <v>31.324790488477305</v>
      </c>
      <c r="I330" s="79">
        <f t="shared" si="321"/>
        <v>29.808671811726985</v>
      </c>
      <c r="J330" s="79">
        <f t="shared" si="321"/>
        <v>36.18688801527211</v>
      </c>
      <c r="K330" s="79">
        <f t="shared" si="321"/>
        <v>36.129819116088214</v>
      </c>
      <c r="L330" s="79">
        <f t="shared" si="321"/>
        <v>39.066820097536016</v>
      </c>
      <c r="M330" s="79">
        <f t="shared" si="321"/>
        <v>35.176515101239225</v>
      </c>
      <c r="N330" s="79">
        <f t="shared" si="321"/>
        <v>31.896610938956481</v>
      </c>
      <c r="O330" s="79">
        <f t="shared" si="321"/>
        <v>33.945109388261557</v>
      </c>
      <c r="P330" s="79">
        <f t="shared" si="321"/>
        <v>33.45195080691866</v>
      </c>
    </row>
    <row r="331" spans="3:16" ht="14.25" customHeight="1" x14ac:dyDescent="0.3">
      <c r="C331" s="4" t="str">
        <f t="shared" si="310"/>
        <v>Minicargador (camaras seguridad)</v>
      </c>
      <c r="D331" s="6" t="s">
        <v>41</v>
      </c>
      <c r="E331" s="6" t="s">
        <v>17</v>
      </c>
      <c r="F331" s="79">
        <f t="shared" si="293"/>
        <v>61.354679087245735</v>
      </c>
      <c r="H331" s="79">
        <f t="shared" ref="H331:P331" si="322">+(H$7*G$184+H154*H$184-(H$184-G$184))/(1-IR)</f>
        <v>58.535674842218803</v>
      </c>
      <c r="I331" s="79">
        <f t="shared" si="322"/>
        <v>57.901587727311103</v>
      </c>
      <c r="J331" s="79">
        <f t="shared" si="322"/>
        <v>64.206410989473454</v>
      </c>
      <c r="K331" s="79">
        <f t="shared" si="322"/>
        <v>64.001485776632691</v>
      </c>
      <c r="L331" s="79">
        <f t="shared" si="322"/>
        <v>66.00698156795697</v>
      </c>
      <c r="M331" s="79">
        <f t="shared" si="322"/>
        <v>61.766252796621977</v>
      </c>
      <c r="N331" s="79">
        <f t="shared" si="322"/>
        <v>58.770099375281632</v>
      </c>
      <c r="O331" s="79">
        <f t="shared" si="322"/>
        <v>60.744784280185236</v>
      </c>
      <c r="P331" s="79">
        <f t="shared" si="322"/>
        <v>60.258834429529728</v>
      </c>
    </row>
    <row r="332" spans="3:16" ht="14.25" customHeight="1" x14ac:dyDescent="0.3">
      <c r="C332" s="4" t="str">
        <f t="shared" si="310"/>
        <v>Excavadora</v>
      </c>
      <c r="D332" s="6" t="s">
        <v>41</v>
      </c>
      <c r="E332" s="6" t="s">
        <v>17</v>
      </c>
      <c r="F332" s="79">
        <f t="shared" si="293"/>
        <v>34.109686196052948</v>
      </c>
      <c r="H332" s="79">
        <f t="shared" ref="H332:P332" si="323">+(H$7*G$184+H155*H$184-(H$184-G$184))/(1-IR)</f>
        <v>31.324790488477305</v>
      </c>
      <c r="I332" s="79">
        <f t="shared" si="323"/>
        <v>29.808671811726985</v>
      </c>
      <c r="J332" s="79">
        <f t="shared" si="323"/>
        <v>36.18688801527211</v>
      </c>
      <c r="K332" s="79">
        <f t="shared" si="323"/>
        <v>36.129819116088214</v>
      </c>
      <c r="L332" s="79">
        <f t="shared" si="323"/>
        <v>39.066820097536016</v>
      </c>
      <c r="M332" s="79">
        <f t="shared" si="323"/>
        <v>35.176515101239225</v>
      </c>
      <c r="N332" s="79">
        <f t="shared" si="323"/>
        <v>31.896610938956481</v>
      </c>
      <c r="O332" s="79">
        <f t="shared" si="323"/>
        <v>33.945109388261557</v>
      </c>
      <c r="P332" s="79">
        <f t="shared" si="323"/>
        <v>33.45195080691866</v>
      </c>
    </row>
    <row r="333" spans="3:16" ht="14.25" customHeight="1" x14ac:dyDescent="0.3">
      <c r="C333" s="4" t="str">
        <f t="shared" si="310"/>
        <v>Cucharas</v>
      </c>
      <c r="D333" s="6" t="s">
        <v>41</v>
      </c>
      <c r="E333" s="6" t="s">
        <v>17</v>
      </c>
      <c r="F333" s="79">
        <f t="shared" si="293"/>
        <v>34.109686196052948</v>
      </c>
      <c r="H333" s="79">
        <f t="shared" ref="H333:P333" si="324">+(H$7*G$184+H156*H$184-(H$184-G$184))/(1-IR)</f>
        <v>31.324790488477305</v>
      </c>
      <c r="I333" s="79">
        <f t="shared" si="324"/>
        <v>29.808671811726985</v>
      </c>
      <c r="J333" s="79">
        <f t="shared" si="324"/>
        <v>36.18688801527211</v>
      </c>
      <c r="K333" s="79">
        <f t="shared" si="324"/>
        <v>36.129819116088214</v>
      </c>
      <c r="L333" s="79">
        <f t="shared" si="324"/>
        <v>39.066820097536016</v>
      </c>
      <c r="M333" s="79">
        <f t="shared" si="324"/>
        <v>35.176515101239225</v>
      </c>
      <c r="N333" s="79">
        <f t="shared" si="324"/>
        <v>31.896610938956481</v>
      </c>
      <c r="O333" s="79">
        <f t="shared" si="324"/>
        <v>33.945109388261557</v>
      </c>
      <c r="P333" s="79">
        <f t="shared" si="324"/>
        <v>33.45195080691866</v>
      </c>
    </row>
    <row r="334" spans="3:16" ht="14.25" customHeight="1" x14ac:dyDescent="0.3">
      <c r="C334" s="4" t="str">
        <f t="shared" si="310"/>
        <v>Cargador frontal</v>
      </c>
      <c r="D334" s="6" t="s">
        <v>41</v>
      </c>
      <c r="E334" s="6" t="s">
        <v>17</v>
      </c>
      <c r="F334" s="79">
        <f t="shared" si="293"/>
        <v>34.109686196052948</v>
      </c>
      <c r="H334" s="79">
        <f t="shared" ref="H334:P334" si="325">+(H$7*G$184+H157*H$184-(H$184-G$184))/(1-IR)</f>
        <v>31.324790488477305</v>
      </c>
      <c r="I334" s="79">
        <f t="shared" si="325"/>
        <v>29.808671811726985</v>
      </c>
      <c r="J334" s="79">
        <f t="shared" si="325"/>
        <v>36.18688801527211</v>
      </c>
      <c r="K334" s="79">
        <f t="shared" si="325"/>
        <v>36.129819116088214</v>
      </c>
      <c r="L334" s="79">
        <f t="shared" si="325"/>
        <v>39.066820097536016</v>
      </c>
      <c r="M334" s="79">
        <f t="shared" si="325"/>
        <v>35.176515101239225</v>
      </c>
      <c r="N334" s="79">
        <f t="shared" si="325"/>
        <v>31.896610938956481</v>
      </c>
      <c r="O334" s="79">
        <f t="shared" si="325"/>
        <v>33.945109388261557</v>
      </c>
      <c r="P334" s="79">
        <f t="shared" si="325"/>
        <v>33.45195080691866</v>
      </c>
    </row>
    <row r="335" spans="3:16" ht="14.25" customHeight="1" x14ac:dyDescent="0.3">
      <c r="C335" s="4" t="str">
        <f t="shared" si="310"/>
        <v>Cargador frontal (camaras seguridad)</v>
      </c>
      <c r="D335" s="6" t="s">
        <v>41</v>
      </c>
      <c r="E335" s="6" t="s">
        <v>17</v>
      </c>
      <c r="F335" s="79">
        <f t="shared" si="293"/>
        <v>61.354679087245735</v>
      </c>
      <c r="H335" s="79">
        <f t="shared" ref="H335:P335" si="326">+(H$7*G$184+H158*H$184-(H$184-G$184))/(1-IR)</f>
        <v>58.535674842218803</v>
      </c>
      <c r="I335" s="79">
        <f t="shared" si="326"/>
        <v>57.901587727311103</v>
      </c>
      <c r="J335" s="79">
        <f t="shared" si="326"/>
        <v>64.206410989473454</v>
      </c>
      <c r="K335" s="79">
        <f t="shared" si="326"/>
        <v>64.001485776632691</v>
      </c>
      <c r="L335" s="79">
        <f t="shared" si="326"/>
        <v>66.00698156795697</v>
      </c>
      <c r="M335" s="79">
        <f t="shared" si="326"/>
        <v>61.766252796621977</v>
      </c>
      <c r="N335" s="79">
        <f t="shared" si="326"/>
        <v>58.770099375281632</v>
      </c>
      <c r="O335" s="79">
        <f t="shared" si="326"/>
        <v>60.744784280185236</v>
      </c>
      <c r="P335" s="79">
        <f t="shared" si="326"/>
        <v>60.258834429529728</v>
      </c>
    </row>
    <row r="336" spans="3:16" ht="14.25" customHeight="1" x14ac:dyDescent="0.3">
      <c r="C336" s="4" t="str">
        <f t="shared" si="310"/>
        <v>Spreader</v>
      </c>
      <c r="D336" s="6" t="s">
        <v>41</v>
      </c>
      <c r="E336" s="6" t="s">
        <v>17</v>
      </c>
      <c r="F336" s="79">
        <f t="shared" ref="F336:F353" si="327">+AVERAGEIF(H336:P336,no_cero)</f>
        <v>34.109686196052948</v>
      </c>
      <c r="H336" s="79">
        <f t="shared" ref="H336:P336" si="328">+(H$7*G$184+H159*H$184-(H$184-G$184))/(1-IR)</f>
        <v>31.324790488477305</v>
      </c>
      <c r="I336" s="79">
        <f t="shared" si="328"/>
        <v>29.808671811726985</v>
      </c>
      <c r="J336" s="79">
        <f t="shared" si="328"/>
        <v>36.18688801527211</v>
      </c>
      <c r="K336" s="79">
        <f t="shared" si="328"/>
        <v>36.129819116088214</v>
      </c>
      <c r="L336" s="79">
        <f t="shared" si="328"/>
        <v>39.066820097536016</v>
      </c>
      <c r="M336" s="79">
        <f t="shared" si="328"/>
        <v>35.176515101239225</v>
      </c>
      <c r="N336" s="79">
        <f t="shared" si="328"/>
        <v>31.896610938956481</v>
      </c>
      <c r="O336" s="79">
        <f t="shared" si="328"/>
        <v>33.945109388261557</v>
      </c>
      <c r="P336" s="79">
        <f t="shared" si="328"/>
        <v>33.45195080691866</v>
      </c>
    </row>
    <row r="337" spans="3:16" ht="14.25" customHeight="1" x14ac:dyDescent="0.3">
      <c r="C337" s="4" t="str">
        <f t="shared" si="310"/>
        <v>Elevadores tijera</v>
      </c>
      <c r="D337" s="6" t="s">
        <v>41</v>
      </c>
      <c r="E337" s="6" t="s">
        <v>17</v>
      </c>
      <c r="F337" s="79">
        <f t="shared" si="327"/>
        <v>34.109686196052948</v>
      </c>
      <c r="H337" s="79">
        <f t="shared" ref="H337:P337" si="329">+(H$7*G$184+H160*H$184-(H$184-G$184))/(1-IR)</f>
        <v>31.324790488477305</v>
      </c>
      <c r="I337" s="79">
        <f t="shared" si="329"/>
        <v>29.808671811726985</v>
      </c>
      <c r="J337" s="79">
        <f t="shared" si="329"/>
        <v>36.18688801527211</v>
      </c>
      <c r="K337" s="79">
        <f t="shared" si="329"/>
        <v>36.129819116088214</v>
      </c>
      <c r="L337" s="79">
        <f t="shared" si="329"/>
        <v>39.066820097536016</v>
      </c>
      <c r="M337" s="79">
        <f t="shared" si="329"/>
        <v>35.176515101239225</v>
      </c>
      <c r="N337" s="79">
        <f t="shared" si="329"/>
        <v>31.896610938956481</v>
      </c>
      <c r="O337" s="79">
        <f t="shared" si="329"/>
        <v>33.945109388261557</v>
      </c>
      <c r="P337" s="79">
        <f t="shared" si="329"/>
        <v>33.45195080691866</v>
      </c>
    </row>
    <row r="338" spans="3:16" ht="14.25" customHeight="1" x14ac:dyDescent="0.3">
      <c r="C338" s="4" t="str">
        <f t="shared" si="310"/>
        <v>Sistema Most</v>
      </c>
      <c r="D338" s="6" t="s">
        <v>41</v>
      </c>
      <c r="E338" s="6" t="s">
        <v>17</v>
      </c>
      <c r="F338" s="79">
        <f t="shared" si="327"/>
        <v>61.354679087245735</v>
      </c>
      <c r="H338" s="79">
        <f t="shared" ref="H338:P338" si="330">+(H$7*G$184+H161*H$184-(H$184-G$184))/(1-IR)</f>
        <v>58.535674842218803</v>
      </c>
      <c r="I338" s="79">
        <f t="shared" si="330"/>
        <v>57.901587727311103</v>
      </c>
      <c r="J338" s="79">
        <f t="shared" si="330"/>
        <v>64.206410989473454</v>
      </c>
      <c r="K338" s="79">
        <f t="shared" si="330"/>
        <v>64.001485776632691</v>
      </c>
      <c r="L338" s="79">
        <f t="shared" si="330"/>
        <v>66.00698156795697</v>
      </c>
      <c r="M338" s="79">
        <f t="shared" si="330"/>
        <v>61.766252796621977</v>
      </c>
      <c r="N338" s="79">
        <f t="shared" si="330"/>
        <v>58.770099375281632</v>
      </c>
      <c r="O338" s="79">
        <f t="shared" si="330"/>
        <v>60.744784280185236</v>
      </c>
      <c r="P338" s="79">
        <f t="shared" si="330"/>
        <v>60.258834429529728</v>
      </c>
    </row>
    <row r="339" spans="3:16" ht="14.25" customHeight="1" x14ac:dyDescent="0.3">
      <c r="C339" s="4" t="str">
        <f t="shared" si="310"/>
        <v xml:space="preserve">Reach Stacker (RS) </v>
      </c>
      <c r="D339" s="6" t="s">
        <v>41</v>
      </c>
      <c r="E339" s="6" t="s">
        <v>17</v>
      </c>
      <c r="F339" s="79">
        <f t="shared" si="327"/>
        <v>27.979562795534576</v>
      </c>
      <c r="H339" s="79">
        <f t="shared" ref="H339:P339" si="331">+(H$7*G$184+H162*H$184-(H$184-G$184))/(1-IR)</f>
        <v>25.202341508885468</v>
      </c>
      <c r="I339" s="79">
        <f t="shared" si="331"/>
        <v>23.487765730720554</v>
      </c>
      <c r="J339" s="79">
        <f t="shared" si="331"/>
        <v>29.882495346076816</v>
      </c>
      <c r="K339" s="79">
        <f t="shared" si="331"/>
        <v>29.858694117465706</v>
      </c>
      <c r="L339" s="79">
        <f t="shared" si="331"/>
        <v>33.005283766691299</v>
      </c>
      <c r="M339" s="79">
        <f t="shared" si="331"/>
        <v>29.193824119778114</v>
      </c>
      <c r="N339" s="79">
        <f t="shared" si="331"/>
        <v>25.850076040783321</v>
      </c>
      <c r="O339" s="79">
        <f t="shared" si="331"/>
        <v>27.915182537578726</v>
      </c>
      <c r="P339" s="79">
        <f t="shared" si="331"/>
        <v>27.420401991831177</v>
      </c>
    </row>
    <row r="340" spans="3:16" ht="14.25" customHeight="1" x14ac:dyDescent="0.3">
      <c r="C340" s="4" t="str">
        <f t="shared" si="310"/>
        <v>Camionetas</v>
      </c>
      <c r="D340" s="6" t="s">
        <v>41</v>
      </c>
      <c r="E340" s="6" t="s">
        <v>17</v>
      </c>
      <c r="F340" s="79">
        <f t="shared" si="327"/>
        <v>34.109686196052948</v>
      </c>
      <c r="H340" s="79">
        <f t="shared" ref="H340:P340" si="332">+(H$7*G$184+H163*H$184-(H$184-G$184))/(1-IR)</f>
        <v>31.324790488477305</v>
      </c>
      <c r="I340" s="79">
        <f t="shared" si="332"/>
        <v>29.808671811726985</v>
      </c>
      <c r="J340" s="79">
        <f t="shared" si="332"/>
        <v>36.18688801527211</v>
      </c>
      <c r="K340" s="79">
        <f t="shared" si="332"/>
        <v>36.129819116088214</v>
      </c>
      <c r="L340" s="79">
        <f t="shared" si="332"/>
        <v>39.066820097536016</v>
      </c>
      <c r="M340" s="79">
        <f t="shared" si="332"/>
        <v>35.176515101239225</v>
      </c>
      <c r="N340" s="79">
        <f t="shared" si="332"/>
        <v>31.896610938956481</v>
      </c>
      <c r="O340" s="79">
        <f t="shared" si="332"/>
        <v>33.945109388261557</v>
      </c>
      <c r="P340" s="79">
        <f t="shared" si="332"/>
        <v>33.45195080691866</v>
      </c>
    </row>
    <row r="341" spans="3:16" ht="14.25" customHeight="1" x14ac:dyDescent="0.3">
      <c r="C341" s="4" t="str">
        <f t="shared" si="310"/>
        <v>Trailer ro-ro</v>
      </c>
      <c r="D341" s="6" t="s">
        <v>41</v>
      </c>
      <c r="E341" s="6" t="s">
        <v>17</v>
      </c>
      <c r="F341" s="79">
        <f t="shared" si="327"/>
        <v>34.109686196052948</v>
      </c>
      <c r="H341" s="79">
        <f t="shared" ref="H341:P341" si="333">+(H$7*G$184+H164*H$184-(H$184-G$184))/(1-IR)</f>
        <v>31.324790488477305</v>
      </c>
      <c r="I341" s="79">
        <f t="shared" si="333"/>
        <v>29.808671811726985</v>
      </c>
      <c r="J341" s="79">
        <f t="shared" si="333"/>
        <v>36.18688801527211</v>
      </c>
      <c r="K341" s="79">
        <f t="shared" si="333"/>
        <v>36.129819116088214</v>
      </c>
      <c r="L341" s="79">
        <f t="shared" si="333"/>
        <v>39.066820097536016</v>
      </c>
      <c r="M341" s="79">
        <f t="shared" si="333"/>
        <v>35.176515101239225</v>
      </c>
      <c r="N341" s="79">
        <f t="shared" si="333"/>
        <v>31.896610938956481</v>
      </c>
      <c r="O341" s="79">
        <f t="shared" si="333"/>
        <v>33.945109388261557</v>
      </c>
      <c r="P341" s="79">
        <f t="shared" si="333"/>
        <v>33.45195080691866</v>
      </c>
    </row>
    <row r="342" spans="3:16" ht="14.25" customHeight="1" x14ac:dyDescent="0.3">
      <c r="C342" s="4" t="str">
        <f t="shared" si="310"/>
        <v>Spreader MHC</v>
      </c>
      <c r="D342" s="6" t="s">
        <v>41</v>
      </c>
      <c r="E342" s="6" t="s">
        <v>17</v>
      </c>
      <c r="F342" s="79">
        <f t="shared" si="327"/>
        <v>34.109686196052948</v>
      </c>
      <c r="H342" s="79">
        <f t="shared" ref="H342:P342" si="334">+(H$7*G$184+H165*H$184-(H$184-G$184))/(1-IR)</f>
        <v>31.324790488477305</v>
      </c>
      <c r="I342" s="79">
        <f t="shared" si="334"/>
        <v>29.808671811726985</v>
      </c>
      <c r="J342" s="79">
        <f t="shared" si="334"/>
        <v>36.18688801527211</v>
      </c>
      <c r="K342" s="79">
        <f t="shared" si="334"/>
        <v>36.129819116088214</v>
      </c>
      <c r="L342" s="79">
        <f t="shared" si="334"/>
        <v>39.066820097536016</v>
      </c>
      <c r="M342" s="79">
        <f t="shared" si="334"/>
        <v>35.176515101239225</v>
      </c>
      <c r="N342" s="79">
        <f t="shared" si="334"/>
        <v>31.896610938956481</v>
      </c>
      <c r="O342" s="79">
        <f t="shared" si="334"/>
        <v>33.945109388261557</v>
      </c>
      <c r="P342" s="79">
        <f t="shared" si="334"/>
        <v>33.45195080691866</v>
      </c>
    </row>
    <row r="343" spans="3:16" ht="14.25" customHeight="1" x14ac:dyDescent="0.3">
      <c r="C343" s="4" t="str">
        <f t="shared" si="310"/>
        <v>Cucharas</v>
      </c>
      <c r="D343" s="6" t="s">
        <v>41</v>
      </c>
      <c r="E343" s="6" t="s">
        <v>17</v>
      </c>
      <c r="F343" s="79">
        <f t="shared" si="327"/>
        <v>34.109686196052948</v>
      </c>
      <c r="H343" s="79">
        <f t="shared" ref="H343:P343" si="335">+(H$7*G$184+H166*H$184-(H$184-G$184))/(1-IR)</f>
        <v>31.324790488477305</v>
      </c>
      <c r="I343" s="79">
        <f t="shared" si="335"/>
        <v>29.808671811726985</v>
      </c>
      <c r="J343" s="79">
        <f t="shared" si="335"/>
        <v>36.18688801527211</v>
      </c>
      <c r="K343" s="79">
        <f t="shared" si="335"/>
        <v>36.129819116088214</v>
      </c>
      <c r="L343" s="79">
        <f t="shared" si="335"/>
        <v>39.066820097536016</v>
      </c>
      <c r="M343" s="79">
        <f t="shared" si="335"/>
        <v>35.176515101239225</v>
      </c>
      <c r="N343" s="79">
        <f t="shared" si="335"/>
        <v>31.896610938956481</v>
      </c>
      <c r="O343" s="79">
        <f t="shared" si="335"/>
        <v>33.945109388261557</v>
      </c>
      <c r="P343" s="79">
        <f t="shared" si="335"/>
        <v>33.45195080691866</v>
      </c>
    </row>
    <row r="344" spans="3:16" ht="14.25" customHeight="1" x14ac:dyDescent="0.3">
      <c r="C344" s="4" t="str">
        <f t="shared" si="310"/>
        <v>Equipo contra incendio</v>
      </c>
      <c r="D344" s="6" t="s">
        <v>41</v>
      </c>
      <c r="E344" s="6" t="s">
        <v>17</v>
      </c>
      <c r="F344" s="79">
        <f t="shared" si="327"/>
        <v>34.109686196052948</v>
      </c>
      <c r="H344" s="79">
        <f t="shared" ref="H344:P344" si="336">+(H$7*G$184+H167*H$184-(H$184-G$184))/(1-IR)</f>
        <v>31.324790488477305</v>
      </c>
      <c r="I344" s="79">
        <f t="shared" si="336"/>
        <v>29.808671811726985</v>
      </c>
      <c r="J344" s="79">
        <f t="shared" si="336"/>
        <v>36.18688801527211</v>
      </c>
      <c r="K344" s="79">
        <f t="shared" si="336"/>
        <v>36.129819116088214</v>
      </c>
      <c r="L344" s="79">
        <f t="shared" si="336"/>
        <v>39.066820097536016</v>
      </c>
      <c r="M344" s="79">
        <f t="shared" si="336"/>
        <v>35.176515101239225</v>
      </c>
      <c r="N344" s="79">
        <f t="shared" si="336"/>
        <v>31.896610938956481</v>
      </c>
      <c r="O344" s="79">
        <f t="shared" si="336"/>
        <v>33.945109388261557</v>
      </c>
      <c r="P344" s="79">
        <f t="shared" si="336"/>
        <v>33.45195080691866</v>
      </c>
    </row>
    <row r="345" spans="3:16" ht="14.25" customHeight="1" x14ac:dyDescent="0.3">
      <c r="C345" s="4" t="str">
        <f t="shared" si="310"/>
        <v>MHC (overhaul)</v>
      </c>
      <c r="D345" s="6" t="s">
        <v>41</v>
      </c>
      <c r="E345" s="6" t="s">
        <v>17</v>
      </c>
      <c r="F345" s="79">
        <f t="shared" si="327"/>
        <v>42.283184063410793</v>
      </c>
      <c r="H345" s="79">
        <f t="shared" ref="H345:P345" si="337">+(H$7*G$184+H168*H$184-(H$184-G$184))/(1-IR)</f>
        <v>39.488055794599752</v>
      </c>
      <c r="I345" s="79">
        <f t="shared" si="337"/>
        <v>38.23654658640222</v>
      </c>
      <c r="J345" s="79">
        <f t="shared" si="337"/>
        <v>44.59274490753252</v>
      </c>
      <c r="K345" s="79">
        <f t="shared" si="337"/>
        <v>44.491319114251567</v>
      </c>
      <c r="L345" s="79">
        <f t="shared" si="337"/>
        <v>47.148868538662313</v>
      </c>
      <c r="M345" s="79">
        <f t="shared" si="337"/>
        <v>43.153436409854059</v>
      </c>
      <c r="N345" s="79">
        <f t="shared" si="337"/>
        <v>39.958657469854032</v>
      </c>
      <c r="O345" s="79">
        <f t="shared" si="337"/>
        <v>41.985011855838664</v>
      </c>
      <c r="P345" s="79">
        <f t="shared" si="337"/>
        <v>41.494015893701985</v>
      </c>
    </row>
    <row r="346" spans="3:16" ht="14.25" customHeight="1" x14ac:dyDescent="0.3">
      <c r="C346" s="4" t="str">
        <f t="shared" si="310"/>
        <v>RS (overhaul)</v>
      </c>
      <c r="D346" s="6" t="s">
        <v>41</v>
      </c>
      <c r="E346" s="6" t="s">
        <v>17</v>
      </c>
      <c r="F346" s="79">
        <f t="shared" si="327"/>
        <v>49.434994697348891</v>
      </c>
      <c r="H346" s="79">
        <f t="shared" ref="H346:P346" si="338">+(H$7*G$184+H169*H$184-(H$184-G$184))/(1-IR)</f>
        <v>46.630912937456905</v>
      </c>
      <c r="I346" s="79">
        <f t="shared" si="338"/>
        <v>45.610937014243042</v>
      </c>
      <c r="J346" s="79">
        <f t="shared" si="338"/>
        <v>51.947869688260369</v>
      </c>
      <c r="K346" s="79">
        <f t="shared" si="338"/>
        <v>51.807631612644485</v>
      </c>
      <c r="L346" s="79">
        <f t="shared" si="338"/>
        <v>54.22066092464781</v>
      </c>
      <c r="M346" s="79">
        <f t="shared" si="338"/>
        <v>50.133242554892021</v>
      </c>
      <c r="N346" s="79">
        <f t="shared" si="338"/>
        <v>47.01294818438938</v>
      </c>
      <c r="O346" s="79">
        <f t="shared" si="338"/>
        <v>49.019926514968631</v>
      </c>
      <c r="P346" s="79">
        <f t="shared" si="338"/>
        <v>48.530822844637385</v>
      </c>
    </row>
    <row r="347" spans="3:16" ht="14.25" customHeight="1" x14ac:dyDescent="0.3">
      <c r="C347" s="4" t="str">
        <f t="shared" si="310"/>
        <v>Tolva</v>
      </c>
      <c r="D347" s="6" t="s">
        <v>41</v>
      </c>
      <c r="E347" s="6" t="s">
        <v>17</v>
      </c>
      <c r="F347" s="79">
        <f t="shared" si="327"/>
        <v>23.21168903957583</v>
      </c>
      <c r="H347" s="79">
        <f t="shared" ref="H347:P347" si="339">+(H$7*G$184+H170*H$184-(H$184-G$184))/(1-IR)</f>
        <v>20.440436746980708</v>
      </c>
      <c r="I347" s="79">
        <f t="shared" si="339"/>
        <v>18.571505445493333</v>
      </c>
      <c r="J347" s="79">
        <f t="shared" si="339"/>
        <v>24.979078825591575</v>
      </c>
      <c r="K347" s="79">
        <f t="shared" si="339"/>
        <v>24.981152451870415</v>
      </c>
      <c r="L347" s="79">
        <f t="shared" si="339"/>
        <v>28.290755509367635</v>
      </c>
      <c r="M347" s="79">
        <f t="shared" si="339"/>
        <v>24.540620023086127</v>
      </c>
      <c r="N347" s="79">
        <f t="shared" si="339"/>
        <v>21.147215564426418</v>
      </c>
      <c r="O347" s="79">
        <f t="shared" si="339"/>
        <v>23.225239431492081</v>
      </c>
      <c r="P347" s="79">
        <f t="shared" si="339"/>
        <v>22.729197357874238</v>
      </c>
    </row>
    <row r="348" spans="3:16" ht="14.25" customHeight="1" x14ac:dyDescent="0.3">
      <c r="C348" s="4" t="str">
        <f t="shared" si="310"/>
        <v>Grúa Terex</v>
      </c>
      <c r="D348" s="6" t="s">
        <v>41</v>
      </c>
      <c r="E348" s="6" t="s">
        <v>17</v>
      </c>
      <c r="F348" s="79">
        <f t="shared" si="327"/>
        <v>27.979562795534576</v>
      </c>
      <c r="H348" s="79">
        <f t="shared" ref="H348:P348" si="340">+(H$7*G$184+H171*H$184-(H$184-G$184))/(1-IR)</f>
        <v>25.202341508885468</v>
      </c>
      <c r="I348" s="79">
        <f t="shared" si="340"/>
        <v>23.487765730720554</v>
      </c>
      <c r="J348" s="79">
        <f t="shared" si="340"/>
        <v>29.882495346076816</v>
      </c>
      <c r="K348" s="79">
        <f t="shared" si="340"/>
        <v>29.858694117465706</v>
      </c>
      <c r="L348" s="79">
        <f t="shared" si="340"/>
        <v>33.005283766691299</v>
      </c>
      <c r="M348" s="79">
        <f t="shared" si="340"/>
        <v>29.193824119778114</v>
      </c>
      <c r="N348" s="79">
        <f t="shared" si="340"/>
        <v>25.850076040783321</v>
      </c>
      <c r="O348" s="79">
        <f t="shared" si="340"/>
        <v>27.915182537578726</v>
      </c>
      <c r="P348" s="79">
        <f t="shared" si="340"/>
        <v>27.420401991831177</v>
      </c>
    </row>
    <row r="349" spans="3:16" ht="14.25" customHeight="1" x14ac:dyDescent="0.3">
      <c r="C349" s="4" t="str">
        <f t="shared" si="310"/>
        <v>Montacargas - reposición</v>
      </c>
      <c r="D349" s="6" t="s">
        <v>41</v>
      </c>
      <c r="E349" s="6" t="s">
        <v>17</v>
      </c>
      <c r="F349" s="79">
        <f t="shared" si="327"/>
        <v>34.109686196052948</v>
      </c>
      <c r="H349" s="79">
        <f t="shared" ref="H349:P349" si="341">+(H$7*G$184+H172*H$184-(H$184-G$184))/(1-IR)</f>
        <v>31.324790488477305</v>
      </c>
      <c r="I349" s="79">
        <f t="shared" si="341"/>
        <v>29.808671811726985</v>
      </c>
      <c r="J349" s="79">
        <f t="shared" si="341"/>
        <v>36.18688801527211</v>
      </c>
      <c r="K349" s="79">
        <f t="shared" si="341"/>
        <v>36.129819116088214</v>
      </c>
      <c r="L349" s="79">
        <f t="shared" si="341"/>
        <v>39.066820097536016</v>
      </c>
      <c r="M349" s="79">
        <f t="shared" si="341"/>
        <v>35.176515101239225</v>
      </c>
      <c r="N349" s="79">
        <f t="shared" si="341"/>
        <v>31.896610938956481</v>
      </c>
      <c r="O349" s="79">
        <f t="shared" si="341"/>
        <v>33.945109388261557</v>
      </c>
      <c r="P349" s="79">
        <f t="shared" si="341"/>
        <v>33.45195080691866</v>
      </c>
    </row>
    <row r="350" spans="3:16" ht="14.25" customHeight="1" x14ac:dyDescent="0.3">
      <c r="C350" s="4" t="str">
        <f t="shared" si="310"/>
        <v>Reach stacker - reposición</v>
      </c>
      <c r="D350" s="6" t="s">
        <v>41</v>
      </c>
      <c r="E350" s="6" t="s">
        <v>17</v>
      </c>
      <c r="F350" s="79">
        <f t="shared" si="327"/>
        <v>27.979562795534576</v>
      </c>
      <c r="H350" s="79">
        <f t="shared" ref="H350:P350" si="342">+(H$7*G$184+H173*H$184-(H$184-G$184))/(1-IR)</f>
        <v>25.202341508885468</v>
      </c>
      <c r="I350" s="79">
        <f t="shared" si="342"/>
        <v>23.487765730720554</v>
      </c>
      <c r="J350" s="79">
        <f t="shared" si="342"/>
        <v>29.882495346076816</v>
      </c>
      <c r="K350" s="79">
        <f t="shared" si="342"/>
        <v>29.858694117465706</v>
      </c>
      <c r="L350" s="79">
        <f t="shared" si="342"/>
        <v>33.005283766691299</v>
      </c>
      <c r="M350" s="79">
        <f t="shared" si="342"/>
        <v>29.193824119778114</v>
      </c>
      <c r="N350" s="79">
        <f t="shared" si="342"/>
        <v>25.850076040783321</v>
      </c>
      <c r="O350" s="79">
        <f t="shared" si="342"/>
        <v>27.915182537578726</v>
      </c>
      <c r="P350" s="79">
        <f t="shared" si="342"/>
        <v>27.420401991831177</v>
      </c>
    </row>
    <row r="351" spans="3:16" ht="14.25" customHeight="1" x14ac:dyDescent="0.3">
      <c r="C351" s="4" t="str">
        <f t="shared" si="310"/>
        <v>Terminal tractor - reposición</v>
      </c>
      <c r="D351" s="6" t="s">
        <v>41</v>
      </c>
      <c r="E351" s="6" t="s">
        <v>17</v>
      </c>
      <c r="F351" s="79">
        <f t="shared" si="327"/>
        <v>34.109686196052948</v>
      </c>
      <c r="H351" s="79">
        <f t="shared" ref="H351:P351" si="343">+(H$7*G$184+H174*H$184-(H$184-G$184))/(1-IR)</f>
        <v>31.324790488477305</v>
      </c>
      <c r="I351" s="79">
        <f t="shared" si="343"/>
        <v>29.808671811726985</v>
      </c>
      <c r="J351" s="79">
        <f t="shared" si="343"/>
        <v>36.18688801527211</v>
      </c>
      <c r="K351" s="79">
        <f t="shared" si="343"/>
        <v>36.129819116088214</v>
      </c>
      <c r="L351" s="79">
        <f t="shared" si="343"/>
        <v>39.066820097536016</v>
      </c>
      <c r="M351" s="79">
        <f t="shared" si="343"/>
        <v>35.176515101239225</v>
      </c>
      <c r="N351" s="79">
        <f t="shared" si="343"/>
        <v>31.896610938956481</v>
      </c>
      <c r="O351" s="79">
        <f t="shared" si="343"/>
        <v>33.945109388261557</v>
      </c>
      <c r="P351" s="79">
        <f t="shared" si="343"/>
        <v>33.45195080691866</v>
      </c>
    </row>
    <row r="352" spans="3:16" ht="14.25" customHeight="1" x14ac:dyDescent="0.3">
      <c r="C352" s="4" t="str">
        <f t="shared" si="310"/>
        <v>Trailer - reposición</v>
      </c>
      <c r="D352" s="6" t="s">
        <v>41</v>
      </c>
      <c r="E352" s="6" t="s">
        <v>17</v>
      </c>
      <c r="F352" s="79">
        <f t="shared" si="327"/>
        <v>34.109686196052948</v>
      </c>
      <c r="H352" s="79">
        <f t="shared" ref="H352:P352" si="344">+(H$7*G$184+H175*H$184-(H$184-G$184))/(1-IR)</f>
        <v>31.324790488477305</v>
      </c>
      <c r="I352" s="79">
        <f t="shared" si="344"/>
        <v>29.808671811726985</v>
      </c>
      <c r="J352" s="79">
        <f t="shared" si="344"/>
        <v>36.18688801527211</v>
      </c>
      <c r="K352" s="79">
        <f t="shared" si="344"/>
        <v>36.129819116088214</v>
      </c>
      <c r="L352" s="79">
        <f t="shared" si="344"/>
        <v>39.066820097536016</v>
      </c>
      <c r="M352" s="79">
        <f t="shared" si="344"/>
        <v>35.176515101239225</v>
      </c>
      <c r="N352" s="79">
        <f t="shared" si="344"/>
        <v>31.896610938956481</v>
      </c>
      <c r="O352" s="79">
        <f t="shared" si="344"/>
        <v>33.945109388261557</v>
      </c>
      <c r="P352" s="79">
        <f t="shared" si="344"/>
        <v>33.45195080691866</v>
      </c>
    </row>
    <row r="353" spans="3:16" ht="14.25" customHeight="1" x14ac:dyDescent="0.3">
      <c r="C353" s="4" t="str">
        <f t="shared" si="310"/>
        <v>Software y programas</v>
      </c>
      <c r="D353" s="6" t="s">
        <v>41</v>
      </c>
      <c r="E353" s="6" t="s">
        <v>17</v>
      </c>
      <c r="F353" s="79">
        <f t="shared" si="327"/>
        <v>61.354679087245735</v>
      </c>
      <c r="H353" s="79">
        <f t="shared" ref="H353:P353" si="345">+(H$7*G$184+H176*H$184-(H$184-G$184))/(1-IR)</f>
        <v>58.535674842218803</v>
      </c>
      <c r="I353" s="79">
        <f t="shared" si="345"/>
        <v>57.901587727311103</v>
      </c>
      <c r="J353" s="79">
        <f t="shared" si="345"/>
        <v>64.206410989473454</v>
      </c>
      <c r="K353" s="79">
        <f t="shared" si="345"/>
        <v>64.001485776632691</v>
      </c>
      <c r="L353" s="79">
        <f t="shared" si="345"/>
        <v>66.00698156795697</v>
      </c>
      <c r="M353" s="79">
        <f t="shared" si="345"/>
        <v>61.766252796621977</v>
      </c>
      <c r="N353" s="79">
        <f t="shared" si="345"/>
        <v>58.770099375281632</v>
      </c>
      <c r="O353" s="79">
        <f t="shared" si="345"/>
        <v>60.744784280185236</v>
      </c>
      <c r="P353" s="79">
        <f t="shared" si="345"/>
        <v>60.258834429529728</v>
      </c>
    </row>
    <row r="354" spans="3:16" ht="14.25" customHeight="1" collapsed="1" x14ac:dyDescent="0.3">
      <c r="C354" s="4"/>
      <c r="D354" s="6"/>
      <c r="E354" s="6"/>
      <c r="F354" s="79"/>
    </row>
    <row r="355" spans="3:16" ht="14.25" customHeight="1" x14ac:dyDescent="0.3"/>
    <row r="356" spans="3:16" ht="14.25" customHeight="1" x14ac:dyDescent="0.3"/>
    <row r="357" spans="3:16" ht="14.25" customHeight="1" x14ac:dyDescent="0.3"/>
    <row r="358" spans="3:16" ht="14.25" customHeight="1" x14ac:dyDescent="0.3"/>
    <row r="359" spans="3:16" ht="14.25" customHeight="1" x14ac:dyDescent="0.3"/>
    <row r="360" spans="3:16" ht="14.25" customHeight="1" x14ac:dyDescent="0.3"/>
    <row r="361" spans="3:16" ht="14.25" customHeight="1" x14ac:dyDescent="0.3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D36-0829-4162-8E67-6BCB5A9AAE02}">
  <dimension ref="B1:N71"/>
  <sheetViews>
    <sheetView showGridLines="0" zoomScale="85" zoomScaleNormal="85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B9" sqref="B9"/>
    </sheetView>
  </sheetViews>
  <sheetFormatPr defaultColWidth="10.75" defaultRowHeight="12.5" x14ac:dyDescent="0.25"/>
  <cols>
    <col min="1" max="1" width="5.58203125" style="4" customWidth="1"/>
    <col min="2" max="2" width="6.08203125" style="4" customWidth="1"/>
    <col min="3" max="3" width="42.33203125" style="4" customWidth="1"/>
    <col min="4" max="4" width="10.25" style="4" customWidth="1"/>
    <col min="5" max="5" width="9.83203125" style="4" customWidth="1"/>
    <col min="6" max="14" width="11.33203125" style="4" customWidth="1"/>
    <col min="15" max="16384" width="10.75" style="4"/>
  </cols>
  <sheetData>
    <row r="1" spans="2:14" ht="13" x14ac:dyDescent="0.3">
      <c r="D1" s="7" t="s">
        <v>66</v>
      </c>
      <c r="E1" s="7"/>
      <c r="F1" s="23">
        <v>2011</v>
      </c>
      <c r="G1" s="23">
        <v>2012</v>
      </c>
      <c r="H1" s="23">
        <v>2013</v>
      </c>
      <c r="I1" s="23">
        <v>2014</v>
      </c>
      <c r="J1" s="23">
        <v>2015</v>
      </c>
      <c r="K1" s="23">
        <v>2016</v>
      </c>
      <c r="L1" s="23">
        <v>2017</v>
      </c>
      <c r="M1" s="23">
        <v>2018</v>
      </c>
      <c r="N1" s="23">
        <v>2019</v>
      </c>
    </row>
    <row r="2" spans="2:14" ht="13" x14ac:dyDescent="0.3">
      <c r="B2" s="16"/>
      <c r="C2" s="16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</row>
    <row r="4" spans="2:14" s="117" customFormat="1" ht="14" x14ac:dyDescent="0.3">
      <c r="B4" s="412" t="s">
        <v>476</v>
      </c>
      <c r="C4" s="412"/>
      <c r="D4" s="274"/>
      <c r="E4" s="413"/>
      <c r="F4" s="414"/>
      <c r="G4" s="414"/>
      <c r="H4" s="414"/>
      <c r="I4" s="414"/>
      <c r="J4" s="414"/>
      <c r="K4" s="414"/>
      <c r="L4" s="414"/>
      <c r="M4" s="414"/>
      <c r="N4" s="414"/>
    </row>
    <row r="5" spans="2:14" s="117" customFormat="1" ht="14" x14ac:dyDescent="0.3">
      <c r="D5" s="129"/>
    </row>
    <row r="6" spans="2:14" s="117" customFormat="1" ht="14" x14ac:dyDescent="0.3">
      <c r="B6" s="416" t="s">
        <v>72</v>
      </c>
      <c r="C6" s="416"/>
      <c r="D6" s="417"/>
      <c r="E6" s="418"/>
      <c r="F6" s="419"/>
      <c r="G6" s="419"/>
      <c r="H6" s="419"/>
      <c r="I6" s="419"/>
      <c r="J6" s="419"/>
      <c r="K6" s="419"/>
      <c r="L6" s="419"/>
      <c r="M6" s="419"/>
      <c r="N6" s="419"/>
    </row>
    <row r="7" spans="2:14" s="117" customFormat="1" ht="14" x14ac:dyDescent="0.3">
      <c r="B7" s="130"/>
      <c r="C7" s="130"/>
      <c r="D7" s="122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2:14" s="117" customFormat="1" ht="14" x14ac:dyDescent="0.3">
      <c r="B8" s="281" t="s">
        <v>589</v>
      </c>
      <c r="C8" s="281"/>
      <c r="D8" s="282" t="s">
        <v>39</v>
      </c>
      <c r="E8" s="283"/>
      <c r="F8" s="308">
        <v>0.13719999999999999</v>
      </c>
      <c r="G8" s="308">
        <v>0.13719999999999999</v>
      </c>
      <c r="H8" s="308">
        <v>0.13719999999999999</v>
      </c>
      <c r="I8" s="308">
        <v>0.13719999999999999</v>
      </c>
      <c r="J8" s="308">
        <v>0.13719999999999999</v>
      </c>
      <c r="K8" s="308">
        <v>0.13719999999999999</v>
      </c>
      <c r="L8" s="308">
        <v>0.13719999999999999</v>
      </c>
      <c r="M8" s="308">
        <v>0.13719999999999999</v>
      </c>
      <c r="N8" s="308">
        <v>0.13719999999999999</v>
      </c>
    </row>
    <row r="9" spans="2:14" s="117" customFormat="1" ht="14" x14ac:dyDescent="0.3">
      <c r="B9" s="130"/>
      <c r="C9" s="130"/>
      <c r="D9" s="122"/>
      <c r="E9" s="285"/>
      <c r="F9" s="285"/>
      <c r="G9" s="285"/>
      <c r="H9" s="285"/>
      <c r="I9" s="285"/>
      <c r="J9" s="285"/>
      <c r="K9" s="285"/>
      <c r="L9" s="285"/>
      <c r="M9" s="285"/>
      <c r="N9" s="285"/>
    </row>
    <row r="10" spans="2:14" s="117" customFormat="1" ht="14" x14ac:dyDescent="0.3">
      <c r="B10" s="130" t="s">
        <v>98</v>
      </c>
      <c r="C10" s="130"/>
      <c r="D10" s="122" t="s">
        <v>39</v>
      </c>
      <c r="E10" s="285"/>
      <c r="F10" s="285">
        <f t="shared" ref="F10:N10" si="0">+IR</f>
        <v>0.3</v>
      </c>
      <c r="G10" s="285">
        <f t="shared" si="0"/>
        <v>0.3</v>
      </c>
      <c r="H10" s="285">
        <f t="shared" si="0"/>
        <v>0.3</v>
      </c>
      <c r="I10" s="285">
        <f t="shared" si="0"/>
        <v>0.3</v>
      </c>
      <c r="J10" s="285">
        <f t="shared" si="0"/>
        <v>0.3</v>
      </c>
      <c r="K10" s="285">
        <f t="shared" si="0"/>
        <v>0.3</v>
      </c>
      <c r="L10" s="285">
        <f t="shared" si="0"/>
        <v>0.3</v>
      </c>
      <c r="M10" s="285">
        <f t="shared" si="0"/>
        <v>0.3</v>
      </c>
      <c r="N10" s="285">
        <f t="shared" si="0"/>
        <v>0.3</v>
      </c>
    </row>
    <row r="11" spans="2:14" s="117" customFormat="1" ht="14" x14ac:dyDescent="0.3">
      <c r="B11" s="130"/>
      <c r="C11" s="130"/>
      <c r="D11" s="122"/>
      <c r="E11" s="285"/>
      <c r="F11" s="285"/>
      <c r="G11" s="285"/>
      <c r="H11" s="285"/>
      <c r="I11" s="285"/>
      <c r="J11" s="285"/>
      <c r="K11" s="285"/>
      <c r="L11" s="285"/>
      <c r="M11" s="285"/>
      <c r="N11" s="285"/>
    </row>
    <row r="12" spans="2:14" s="117" customFormat="1" ht="14" x14ac:dyDescent="0.3">
      <c r="B12" s="130" t="s">
        <v>67</v>
      </c>
      <c r="C12" s="130"/>
      <c r="D12" s="122"/>
      <c r="E12" s="279"/>
      <c r="F12" s="279"/>
      <c r="G12" s="279"/>
      <c r="H12" s="279"/>
      <c r="I12" s="286"/>
      <c r="J12" s="286"/>
      <c r="K12" s="286"/>
      <c r="L12" s="286"/>
      <c r="M12" s="286"/>
      <c r="N12" s="286"/>
    </row>
    <row r="13" spans="2:14" s="117" customFormat="1" ht="14" x14ac:dyDescent="0.3">
      <c r="B13" s="280" t="s">
        <v>68</v>
      </c>
      <c r="C13" s="280"/>
      <c r="D13" s="129" t="s">
        <v>39</v>
      </c>
      <c r="E13" s="287"/>
      <c r="F13" s="288">
        <v>0.4</v>
      </c>
      <c r="G13" s="287">
        <f t="shared" ref="G13:N14" si="1">F13</f>
        <v>0.4</v>
      </c>
      <c r="H13" s="287">
        <f t="shared" si="1"/>
        <v>0.4</v>
      </c>
      <c r="I13" s="287">
        <f t="shared" si="1"/>
        <v>0.4</v>
      </c>
      <c r="J13" s="287">
        <f t="shared" si="1"/>
        <v>0.4</v>
      </c>
      <c r="K13" s="287">
        <f t="shared" si="1"/>
        <v>0.4</v>
      </c>
      <c r="L13" s="287">
        <f t="shared" si="1"/>
        <v>0.4</v>
      </c>
      <c r="M13" s="287">
        <f t="shared" si="1"/>
        <v>0.4</v>
      </c>
      <c r="N13" s="287">
        <f t="shared" si="1"/>
        <v>0.4</v>
      </c>
    </row>
    <row r="14" spans="2:14" s="117" customFormat="1" ht="14" x14ac:dyDescent="0.3">
      <c r="B14" s="280" t="s">
        <v>69</v>
      </c>
      <c r="C14" s="280"/>
      <c r="D14" s="129" t="s">
        <v>39</v>
      </c>
      <c r="E14" s="279"/>
      <c r="F14" s="402">
        <f>1-F13</f>
        <v>0.6</v>
      </c>
      <c r="G14" s="287">
        <f t="shared" si="1"/>
        <v>0.6</v>
      </c>
      <c r="H14" s="287">
        <f t="shared" si="1"/>
        <v>0.6</v>
      </c>
      <c r="I14" s="287">
        <f t="shared" si="1"/>
        <v>0.6</v>
      </c>
      <c r="J14" s="287">
        <f t="shared" si="1"/>
        <v>0.6</v>
      </c>
      <c r="K14" s="287">
        <f t="shared" si="1"/>
        <v>0.6</v>
      </c>
      <c r="L14" s="287">
        <f t="shared" si="1"/>
        <v>0.6</v>
      </c>
      <c r="M14" s="287">
        <f t="shared" si="1"/>
        <v>0.6</v>
      </c>
      <c r="N14" s="287">
        <f t="shared" si="1"/>
        <v>0.6</v>
      </c>
    </row>
    <row r="15" spans="2:14" s="117" customFormat="1" ht="14" x14ac:dyDescent="0.3">
      <c r="B15" s="280"/>
      <c r="C15" s="280"/>
      <c r="D15" s="129"/>
      <c r="E15" s="279"/>
      <c r="F15" s="279"/>
      <c r="G15" s="279"/>
      <c r="H15" s="279"/>
      <c r="I15" s="286"/>
      <c r="J15" s="286"/>
      <c r="K15" s="286"/>
      <c r="L15" s="286"/>
      <c r="M15" s="286"/>
      <c r="N15" s="286"/>
    </row>
    <row r="16" spans="2:14" s="117" customFormat="1" ht="14" x14ac:dyDescent="0.3">
      <c r="B16" s="281" t="s">
        <v>70</v>
      </c>
      <c r="C16" s="281"/>
      <c r="D16" s="282" t="s">
        <v>39</v>
      </c>
      <c r="E16" s="289"/>
      <c r="F16" s="290">
        <f>+'Costo de deuda'!E119</f>
        <v>7.2027307692307696E-2</v>
      </c>
      <c r="G16" s="290">
        <f>+'Costo de deuda'!F119</f>
        <v>5.4401149425287357E-2</v>
      </c>
      <c r="H16" s="290">
        <f>+'Costo de deuda'!G119</f>
        <v>7.6060645836434349E-2</v>
      </c>
      <c r="I16" s="290">
        <f>+'Costo de deuda'!H119</f>
        <v>6.9472819327140806E-2</v>
      </c>
      <c r="J16" s="290">
        <f>+'Costo de deuda'!I119</f>
        <v>6.0546927850817292E-2</v>
      </c>
      <c r="K16" s="290">
        <f>+'Costo de deuda'!J119</f>
        <v>5.80247456296724E-2</v>
      </c>
      <c r="L16" s="290">
        <f>+'Costo de deuda'!K119</f>
        <v>5.8278901697322645E-2</v>
      </c>
      <c r="M16" s="290">
        <f>+'Costo de deuda'!L119</f>
        <v>6.02453369964474E-2</v>
      </c>
      <c r="N16" s="290">
        <f>+'Costo de deuda'!M119</f>
        <v>5.9409213110529394E-2</v>
      </c>
    </row>
    <row r="17" spans="2:14" s="117" customFormat="1" ht="14.5" thickBot="1" x14ac:dyDescent="0.35">
      <c r="B17" s="130"/>
      <c r="C17" s="130"/>
      <c r="D17" s="122"/>
      <c r="E17" s="288"/>
      <c r="F17" s="288"/>
      <c r="G17" s="288"/>
      <c r="H17" s="288"/>
      <c r="I17" s="288"/>
      <c r="J17" s="288"/>
      <c r="K17" s="288"/>
      <c r="L17" s="288"/>
      <c r="M17" s="288"/>
      <c r="N17" s="288"/>
    </row>
    <row r="18" spans="2:14" s="117" customFormat="1" ht="14.5" thickBot="1" x14ac:dyDescent="0.35">
      <c r="B18" s="291" t="s">
        <v>71</v>
      </c>
      <c r="C18" s="292"/>
      <c r="D18" s="293" t="s">
        <v>39</v>
      </c>
      <c r="E18" s="294"/>
      <c r="F18" s="295">
        <f>+F8*F13+F16*F14*(1-F10)</f>
        <v>8.5131469230769224E-2</v>
      </c>
      <c r="G18" s="295">
        <f t="shared" ref="G18:N18" si="2">+G8*G13+G16*G14*(1-G10)</f>
        <v>7.7728482758620682E-2</v>
      </c>
      <c r="H18" s="295">
        <f t="shared" si="2"/>
        <v>8.6825471251302425E-2</v>
      </c>
      <c r="I18" s="295">
        <f t="shared" si="2"/>
        <v>8.4058584117399138E-2</v>
      </c>
      <c r="J18" s="295">
        <f t="shared" si="2"/>
        <v>8.0309709697343259E-2</v>
      </c>
      <c r="K18" s="295">
        <f t="shared" si="2"/>
        <v>7.9250393164462404E-2</v>
      </c>
      <c r="L18" s="295">
        <f t="shared" si="2"/>
        <v>7.9357138712875502E-2</v>
      </c>
      <c r="M18" s="295">
        <f t="shared" si="2"/>
        <v>8.0183041538507902E-2</v>
      </c>
      <c r="N18" s="295">
        <f t="shared" si="2"/>
        <v>7.9831869506422334E-2</v>
      </c>
    </row>
    <row r="19" spans="2:14" s="117" customFormat="1" ht="14" x14ac:dyDescent="0.3">
      <c r="B19" s="296"/>
      <c r="C19" s="296"/>
      <c r="D19" s="122"/>
      <c r="E19" s="288"/>
      <c r="F19" s="288"/>
      <c r="G19" s="288"/>
      <c r="H19" s="288"/>
      <c r="I19" s="288"/>
      <c r="J19" s="288"/>
      <c r="K19" s="288"/>
      <c r="L19" s="288"/>
      <c r="M19" s="288"/>
      <c r="N19" s="288"/>
    </row>
    <row r="20" spans="2:14" s="117" customFormat="1" ht="14" x14ac:dyDescent="0.3">
      <c r="B20" s="416" t="s">
        <v>73</v>
      </c>
      <c r="C20" s="416"/>
      <c r="D20" s="417"/>
      <c r="E20" s="418"/>
      <c r="F20" s="419"/>
      <c r="G20" s="419"/>
      <c r="H20" s="419"/>
      <c r="I20" s="419"/>
      <c r="J20" s="419"/>
      <c r="K20" s="419"/>
      <c r="L20" s="419"/>
      <c r="M20" s="419"/>
      <c r="N20" s="419"/>
    </row>
    <row r="21" spans="2:14" s="117" customFormat="1" ht="14" x14ac:dyDescent="0.3"/>
    <row r="22" spans="2:14" s="117" customFormat="1" ht="14" x14ac:dyDescent="0.3">
      <c r="B22" s="281" t="s">
        <v>589</v>
      </c>
      <c r="C22" s="281"/>
      <c r="D22" s="282"/>
      <c r="E22" s="297"/>
      <c r="F22" s="297">
        <f t="shared" ref="F22:N22" si="3">F8</f>
        <v>0.13719999999999999</v>
      </c>
      <c r="G22" s="297">
        <f t="shared" si="3"/>
        <v>0.13719999999999999</v>
      </c>
      <c r="H22" s="297">
        <f t="shared" si="3"/>
        <v>0.13719999999999999</v>
      </c>
      <c r="I22" s="297">
        <f t="shared" si="3"/>
        <v>0.13719999999999999</v>
      </c>
      <c r="J22" s="297">
        <f t="shared" si="3"/>
        <v>0.13719999999999999</v>
      </c>
      <c r="K22" s="297">
        <f t="shared" si="3"/>
        <v>0.13719999999999999</v>
      </c>
      <c r="L22" s="297">
        <f t="shared" si="3"/>
        <v>0.13719999999999999</v>
      </c>
      <c r="M22" s="297">
        <f t="shared" si="3"/>
        <v>0.13719999999999999</v>
      </c>
      <c r="N22" s="297">
        <f t="shared" si="3"/>
        <v>0.13719999999999999</v>
      </c>
    </row>
    <row r="23" spans="2:14" s="117" customFormat="1" ht="14" x14ac:dyDescent="0.3">
      <c r="B23" s="130"/>
      <c r="C23" s="130"/>
      <c r="D23" s="122"/>
      <c r="E23" s="279"/>
      <c r="F23" s="279"/>
      <c r="G23" s="279"/>
      <c r="H23" s="279"/>
      <c r="I23" s="286"/>
      <c r="J23" s="286"/>
      <c r="K23" s="286"/>
      <c r="L23" s="286"/>
      <c r="M23" s="286"/>
      <c r="N23" s="286"/>
    </row>
    <row r="24" spans="2:14" s="117" customFormat="1" ht="14" x14ac:dyDescent="0.3">
      <c r="B24" s="130" t="s">
        <v>98</v>
      </c>
      <c r="C24" s="130"/>
      <c r="D24" s="122" t="s">
        <v>39</v>
      </c>
      <c r="E24" s="285"/>
      <c r="F24" s="285">
        <f t="shared" ref="F24:N24" si="4">+IR</f>
        <v>0.3</v>
      </c>
      <c r="G24" s="285">
        <f t="shared" si="4"/>
        <v>0.3</v>
      </c>
      <c r="H24" s="285">
        <f t="shared" si="4"/>
        <v>0.3</v>
      </c>
      <c r="I24" s="285">
        <f t="shared" si="4"/>
        <v>0.3</v>
      </c>
      <c r="J24" s="285">
        <f t="shared" si="4"/>
        <v>0.3</v>
      </c>
      <c r="K24" s="285">
        <f t="shared" si="4"/>
        <v>0.3</v>
      </c>
      <c r="L24" s="285">
        <f t="shared" si="4"/>
        <v>0.3</v>
      </c>
      <c r="M24" s="285">
        <f t="shared" si="4"/>
        <v>0.3</v>
      </c>
      <c r="N24" s="285">
        <f t="shared" si="4"/>
        <v>0.3</v>
      </c>
    </row>
    <row r="25" spans="2:14" s="117" customFormat="1" ht="14" x14ac:dyDescent="0.3">
      <c r="B25" s="130"/>
      <c r="C25" s="130"/>
      <c r="D25" s="122"/>
      <c r="E25" s="279"/>
      <c r="F25" s="279"/>
      <c r="G25" s="279"/>
      <c r="H25" s="279"/>
      <c r="I25" s="286"/>
      <c r="J25" s="286"/>
      <c r="K25" s="286"/>
      <c r="L25" s="286"/>
      <c r="M25" s="286"/>
      <c r="N25" s="286"/>
    </row>
    <row r="26" spans="2:14" s="117" customFormat="1" ht="14" x14ac:dyDescent="0.3">
      <c r="B26" s="130" t="s">
        <v>67</v>
      </c>
      <c r="C26" s="130"/>
      <c r="D26" s="122"/>
      <c r="E26" s="279"/>
      <c r="F26" s="279"/>
      <c r="G26" s="279"/>
      <c r="H26" s="279"/>
      <c r="I26" s="286"/>
      <c r="J26" s="286"/>
      <c r="K26" s="286"/>
      <c r="L26" s="286"/>
      <c r="M26" s="286"/>
      <c r="N26" s="286"/>
    </row>
    <row r="27" spans="2:14" s="117" customFormat="1" ht="14" x14ac:dyDescent="0.3">
      <c r="B27" s="280" t="s">
        <v>68</v>
      </c>
      <c r="C27" s="280"/>
      <c r="D27" s="129" t="s">
        <v>39</v>
      </c>
      <c r="E27" s="287"/>
      <c r="F27" s="288">
        <v>0.6</v>
      </c>
      <c r="G27" s="287">
        <f t="shared" ref="G27:N27" si="5">F27</f>
        <v>0.6</v>
      </c>
      <c r="H27" s="287">
        <f t="shared" si="5"/>
        <v>0.6</v>
      </c>
      <c r="I27" s="287">
        <f t="shared" si="5"/>
        <v>0.6</v>
      </c>
      <c r="J27" s="287">
        <f t="shared" si="5"/>
        <v>0.6</v>
      </c>
      <c r="K27" s="287">
        <f t="shared" si="5"/>
        <v>0.6</v>
      </c>
      <c r="L27" s="287">
        <f t="shared" si="5"/>
        <v>0.6</v>
      </c>
      <c r="M27" s="287">
        <f t="shared" si="5"/>
        <v>0.6</v>
      </c>
      <c r="N27" s="287">
        <f t="shared" si="5"/>
        <v>0.6</v>
      </c>
    </row>
    <row r="28" spans="2:14" s="117" customFormat="1" ht="14" x14ac:dyDescent="0.3">
      <c r="B28" s="280" t="s">
        <v>69</v>
      </c>
      <c r="C28" s="280"/>
      <c r="D28" s="129" t="s">
        <v>39</v>
      </c>
      <c r="E28" s="279"/>
      <c r="F28" s="287">
        <f>1-F27</f>
        <v>0.4</v>
      </c>
      <c r="G28" s="287">
        <f t="shared" ref="G28:N28" si="6">1-G27</f>
        <v>0.4</v>
      </c>
      <c r="H28" s="287">
        <f t="shared" si="6"/>
        <v>0.4</v>
      </c>
      <c r="I28" s="287">
        <f t="shared" si="6"/>
        <v>0.4</v>
      </c>
      <c r="J28" s="287">
        <f t="shared" si="6"/>
        <v>0.4</v>
      </c>
      <c r="K28" s="287">
        <f t="shared" si="6"/>
        <v>0.4</v>
      </c>
      <c r="L28" s="287">
        <f t="shared" si="6"/>
        <v>0.4</v>
      </c>
      <c r="M28" s="287">
        <f t="shared" si="6"/>
        <v>0.4</v>
      </c>
      <c r="N28" s="287">
        <f t="shared" si="6"/>
        <v>0.4</v>
      </c>
    </row>
    <row r="29" spans="2:14" s="117" customFormat="1" ht="14" x14ac:dyDescent="0.3">
      <c r="B29" s="280"/>
      <c r="C29" s="280"/>
      <c r="D29" s="129"/>
      <c r="E29" s="279"/>
      <c r="F29" s="286"/>
      <c r="G29" s="286"/>
      <c r="H29" s="286"/>
      <c r="I29" s="286"/>
      <c r="J29" s="286"/>
      <c r="K29" s="286"/>
      <c r="L29" s="286"/>
      <c r="M29" s="286"/>
      <c r="N29" s="286"/>
    </row>
    <row r="30" spans="2:14" s="117" customFormat="1" ht="14" x14ac:dyDescent="0.3">
      <c r="B30" s="281" t="s">
        <v>70</v>
      </c>
      <c r="C30" s="281"/>
      <c r="D30" s="282" t="s">
        <v>39</v>
      </c>
      <c r="E30" s="297"/>
      <c r="F30" s="297">
        <f>+'Costo de deuda'!E119</f>
        <v>7.2027307692307696E-2</v>
      </c>
      <c r="G30" s="297">
        <f>+'Costo de deuda'!F119</f>
        <v>5.4401149425287357E-2</v>
      </c>
      <c r="H30" s="297">
        <f>+'Costo de deuda'!G119</f>
        <v>7.6060645836434349E-2</v>
      </c>
      <c r="I30" s="297">
        <f>+'Costo de deuda'!H119</f>
        <v>6.9472819327140806E-2</v>
      </c>
      <c r="J30" s="297">
        <f>+'Costo de deuda'!I119</f>
        <v>6.0546927850817292E-2</v>
      </c>
      <c r="K30" s="297">
        <f>+'Costo de deuda'!J119</f>
        <v>5.80247456296724E-2</v>
      </c>
      <c r="L30" s="297">
        <f>+'Costo de deuda'!K119</f>
        <v>5.8278901697322645E-2</v>
      </c>
      <c r="M30" s="297">
        <f>+'Costo de deuda'!L119</f>
        <v>6.02453369964474E-2</v>
      </c>
      <c r="N30" s="297">
        <f>+'Costo de deuda'!M119</f>
        <v>5.9409213110529394E-2</v>
      </c>
    </row>
    <row r="31" spans="2:14" s="117" customFormat="1" ht="14.5" thickBot="1" x14ac:dyDescent="0.35">
      <c r="B31" s="130"/>
      <c r="C31" s="130"/>
      <c r="D31" s="122"/>
      <c r="E31" s="288"/>
      <c r="F31" s="288"/>
      <c r="G31" s="288"/>
      <c r="H31" s="288"/>
      <c r="I31" s="288"/>
      <c r="J31" s="288"/>
      <c r="K31" s="288"/>
      <c r="L31" s="288"/>
      <c r="M31" s="288"/>
      <c r="N31" s="288"/>
    </row>
    <row r="32" spans="2:14" s="117" customFormat="1" ht="14.5" thickBot="1" x14ac:dyDescent="0.35">
      <c r="B32" s="291" t="s">
        <v>71</v>
      </c>
      <c r="C32" s="292"/>
      <c r="D32" s="293" t="s">
        <v>39</v>
      </c>
      <c r="E32" s="294"/>
      <c r="F32" s="295">
        <f>+F22*F27+F30*F28*(1-F24)</f>
        <v>0.10248764615384615</v>
      </c>
      <c r="G32" s="295">
        <f t="shared" ref="G32:N32" si="7">+G22*G27+G30*G28*(1-G24)</f>
        <v>9.7552321839080455E-2</v>
      </c>
      <c r="H32" s="295">
        <f t="shared" si="7"/>
        <v>0.10361698083420161</v>
      </c>
      <c r="I32" s="295">
        <f t="shared" si="7"/>
        <v>0.10177238941159941</v>
      </c>
      <c r="J32" s="295">
        <f t="shared" si="7"/>
        <v>9.9273139798228827E-2</v>
      </c>
      <c r="K32" s="295">
        <f t="shared" si="7"/>
        <v>9.8566928776308266E-2</v>
      </c>
      <c r="L32" s="295">
        <f t="shared" si="7"/>
        <v>9.8638092475250336E-2</v>
      </c>
      <c r="M32" s="295">
        <f t="shared" si="7"/>
        <v>9.9188694359005264E-2</v>
      </c>
      <c r="N32" s="295">
        <f t="shared" si="7"/>
        <v>9.8954579670948228E-2</v>
      </c>
    </row>
    <row r="33" spans="2:14" s="117" customFormat="1" ht="14" x14ac:dyDescent="0.3">
      <c r="B33" s="298"/>
      <c r="C33" s="298"/>
      <c r="D33" s="300"/>
      <c r="E33" s="302"/>
      <c r="F33" s="303"/>
      <c r="G33" s="303"/>
      <c r="H33" s="303"/>
      <c r="I33" s="303"/>
      <c r="J33" s="303"/>
      <c r="K33" s="303"/>
      <c r="L33" s="303"/>
      <c r="M33" s="303"/>
    </row>
    <row r="34" spans="2:14" s="117" customFormat="1" ht="14" x14ac:dyDescent="0.3">
      <c r="B34" s="304" t="s">
        <v>74</v>
      </c>
      <c r="C34" s="304"/>
      <c r="D34" s="305"/>
      <c r="E34" s="306"/>
      <c r="F34" s="307"/>
      <c r="G34" s="307"/>
      <c r="H34" s="307"/>
      <c r="I34" s="307"/>
      <c r="J34" s="307"/>
      <c r="K34" s="307"/>
      <c r="L34" s="307"/>
      <c r="M34" s="307"/>
      <c r="N34" s="307"/>
    </row>
    <row r="35" spans="2:14" s="117" customFormat="1" ht="14" x14ac:dyDescent="0.3">
      <c r="B35" s="298" t="s">
        <v>75</v>
      </c>
      <c r="C35" s="298"/>
      <c r="D35" s="299"/>
      <c r="E35" s="301"/>
      <c r="F35" s="302">
        <v>80</v>
      </c>
      <c r="G35" s="303">
        <f t="shared" ref="G35:N35" si="8">+F35</f>
        <v>80</v>
      </c>
      <c r="H35" s="303">
        <f t="shared" si="8"/>
        <v>80</v>
      </c>
      <c r="I35" s="303">
        <f t="shared" si="8"/>
        <v>80</v>
      </c>
      <c r="J35" s="303">
        <f t="shared" si="8"/>
        <v>80</v>
      </c>
      <c r="K35" s="303">
        <f t="shared" si="8"/>
        <v>80</v>
      </c>
      <c r="L35" s="303">
        <f t="shared" si="8"/>
        <v>80</v>
      </c>
      <c r="M35" s="303">
        <f t="shared" si="8"/>
        <v>80</v>
      </c>
      <c r="N35" s="303">
        <f t="shared" si="8"/>
        <v>80</v>
      </c>
    </row>
    <row r="36" spans="2:14" x14ac:dyDescent="0.25">
      <c r="F36" s="107"/>
      <c r="G36" s="107"/>
      <c r="H36" s="107"/>
      <c r="I36" s="107"/>
      <c r="J36" s="107"/>
      <c r="K36" s="107"/>
      <c r="L36" s="107"/>
      <c r="M36" s="107"/>
      <c r="N36" s="107"/>
    </row>
    <row r="37" spans="2:14" ht="14" x14ac:dyDescent="0.3">
      <c r="B37" s="423" t="s">
        <v>590</v>
      </c>
      <c r="C37" s="424"/>
      <c r="D37" s="415"/>
      <c r="E37" s="415"/>
      <c r="F37" s="425">
        <f>+(F35*F32+20*F18)/100</f>
        <v>9.9016410769230775E-2</v>
      </c>
      <c r="G37" s="425">
        <f t="shared" ref="G37:N37" si="9">+(G35*G32+20*G18)/100</f>
        <v>9.3587554022988503E-2</v>
      </c>
      <c r="H37" s="425">
        <f t="shared" si="9"/>
        <v>0.10025867891762177</v>
      </c>
      <c r="I37" s="425">
        <f t="shared" si="9"/>
        <v>9.8229628352759363E-2</v>
      </c>
      <c r="J37" s="425">
        <f t="shared" si="9"/>
        <v>9.5480453778051699E-2</v>
      </c>
      <c r="K37" s="425">
        <f t="shared" si="9"/>
        <v>9.4703621653939085E-2</v>
      </c>
      <c r="L37" s="425">
        <f t="shared" si="9"/>
        <v>9.4781901722775383E-2</v>
      </c>
      <c r="M37" s="425">
        <f t="shared" si="9"/>
        <v>9.5387563794905789E-2</v>
      </c>
      <c r="N37" s="425">
        <f t="shared" si="9"/>
        <v>9.513003763804305E-2</v>
      </c>
    </row>
    <row r="38" spans="2:14" ht="11.25" customHeight="1" x14ac:dyDescent="0.25"/>
    <row r="39" spans="2:14" ht="11.25" customHeight="1" x14ac:dyDescent="0.25"/>
    <row r="40" spans="2:14" ht="11.25" customHeight="1" x14ac:dyDescent="0.25"/>
    <row r="41" spans="2:14" ht="11.25" customHeight="1" x14ac:dyDescent="0.25"/>
    <row r="42" spans="2:14" ht="11.25" customHeight="1" x14ac:dyDescent="0.25"/>
    <row r="43" spans="2:14" ht="11.25" customHeight="1" x14ac:dyDescent="0.25"/>
    <row r="44" spans="2:14" ht="11.25" customHeight="1" x14ac:dyDescent="0.25"/>
    <row r="45" spans="2:14" ht="11.25" customHeight="1" x14ac:dyDescent="0.25"/>
    <row r="46" spans="2:14" ht="11.25" customHeight="1" x14ac:dyDescent="0.25"/>
    <row r="47" spans="2:14" ht="11.25" customHeight="1" x14ac:dyDescent="0.25"/>
    <row r="48" spans="2:14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545E-0414-4048-95A2-EC712344B233}">
  <dimension ref="B1:Q54"/>
  <sheetViews>
    <sheetView showGridLines="0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2" sqref="H12:H13"/>
    </sheetView>
  </sheetViews>
  <sheetFormatPr defaultColWidth="8.08203125" defaultRowHeight="12.5" outlineLevelCol="1" x14ac:dyDescent="0.25"/>
  <cols>
    <col min="1" max="1" width="2.08203125" style="4" customWidth="1"/>
    <col min="2" max="2" width="2.33203125" style="4" customWidth="1"/>
    <col min="3" max="3" width="49.08203125" style="4" customWidth="1"/>
    <col min="4" max="4" width="12.5" style="4" customWidth="1"/>
    <col min="5" max="5" width="16.33203125" style="4" bestFit="1" customWidth="1"/>
    <col min="6" max="6" width="12.5" style="4" hidden="1" customWidth="1" outlineLevel="1"/>
    <col min="7" max="7" width="12.5" style="4" customWidth="1" collapsed="1"/>
    <col min="8" max="8" width="12.5" style="4" customWidth="1"/>
    <col min="9" max="9" width="13.83203125" style="4" customWidth="1"/>
    <col min="10" max="10" width="13.58203125" style="4" customWidth="1"/>
    <col min="11" max="11" width="15.08203125" style="4" customWidth="1"/>
    <col min="12" max="12" width="16.08203125" style="4" customWidth="1"/>
    <col min="13" max="13" width="11.75" style="4" customWidth="1"/>
    <col min="14" max="14" width="16.08203125" style="4" customWidth="1"/>
    <col min="15" max="15" width="11.33203125" style="4" customWidth="1"/>
    <col min="16" max="16384" width="8.08203125" style="4"/>
  </cols>
  <sheetData>
    <row r="1" spans="2:17" ht="13" x14ac:dyDescent="0.3">
      <c r="F1" s="15">
        <v>2010</v>
      </c>
      <c r="G1" s="15">
        <v>2011</v>
      </c>
      <c r="H1" s="15">
        <v>2012</v>
      </c>
      <c r="I1" s="15">
        <v>2013</v>
      </c>
      <c r="J1" s="15">
        <v>2014</v>
      </c>
      <c r="K1" s="15">
        <v>2015</v>
      </c>
      <c r="L1" s="15">
        <v>2016</v>
      </c>
      <c r="M1" s="15">
        <v>2017</v>
      </c>
      <c r="N1" s="15">
        <v>2018</v>
      </c>
      <c r="O1" s="15">
        <v>2019</v>
      </c>
    </row>
    <row r="2" spans="2:17" ht="13" x14ac:dyDescent="0.3">
      <c r="B2" s="100"/>
      <c r="C2" s="100"/>
      <c r="D2" s="100" t="s">
        <v>2</v>
      </c>
      <c r="E2" s="100" t="s">
        <v>30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4" spans="2:17" ht="13" x14ac:dyDescent="0.3">
      <c r="B4" s="57" t="s">
        <v>310</v>
      </c>
      <c r="C4" s="28"/>
      <c r="D4" s="232" t="s">
        <v>305</v>
      </c>
      <c r="E4" s="232" t="s">
        <v>306</v>
      </c>
      <c r="F4" s="233">
        <f>+AVERAGE('Macro mensual'!H25:H27)</f>
        <v>2.8042484126984135</v>
      </c>
      <c r="G4" s="233">
        <f>+AVERAGE('Macro mensual'!H37:H39)</f>
        <v>2.7110135129490396</v>
      </c>
      <c r="H4" s="233">
        <f>+AVERAGE('Macro mensual'!H49:H51)</f>
        <v>2.5843712962962968</v>
      </c>
      <c r="I4" s="233">
        <f>+AVERAGE('Macro mensual'!H61:H63)</f>
        <v>2.7841646825396835</v>
      </c>
      <c r="J4" s="233">
        <f>+AVERAGE('Macro mensual'!H73:H75)</f>
        <v>2.9308734848484832</v>
      </c>
      <c r="K4" s="233">
        <f>+AVERAGE('Macro mensual'!H85:H87)</f>
        <v>3.3225615079365105</v>
      </c>
      <c r="L4" s="233">
        <f>+AVERAGE('Macro mensual'!H97:H99)</f>
        <v>3.394734753550543</v>
      </c>
      <c r="M4" s="233">
        <f>+AVERAGE('Macro mensual'!H109:H111)</f>
        <v>3.2459178248651934</v>
      </c>
      <c r="N4" s="233">
        <f>+AVERAGE('Macro mensual'!H121:H123)</f>
        <v>3.3575368022328536</v>
      </c>
      <c r="O4" s="233">
        <f>+AVERAGE('Macro mensual'!H133:H135)</f>
        <v>3.3623333333333334</v>
      </c>
    </row>
    <row r="5" spans="2:17" ht="13" x14ac:dyDescent="0.3">
      <c r="B5" s="57" t="s">
        <v>314</v>
      </c>
      <c r="C5" s="28"/>
      <c r="D5" s="232" t="s">
        <v>305</v>
      </c>
      <c r="E5" s="232" t="s">
        <v>306</v>
      </c>
      <c r="F5" s="233">
        <f>+'Macro mensual'!H27</f>
        <v>2.8156750000000001</v>
      </c>
      <c r="G5" s="233">
        <f>+'Macro mensual'!H39</f>
        <v>2.69626315789474</v>
      </c>
      <c r="H5" s="233">
        <f>+'Macro mensual'!H51</f>
        <v>2.5668888888888901</v>
      </c>
      <c r="I5" s="233">
        <f>+'Macro mensual'!H63</f>
        <v>2.78525</v>
      </c>
      <c r="J5" s="233">
        <f>+'Macro mensual'!H75</f>
        <v>2.9615</v>
      </c>
      <c r="K5" s="233">
        <f>+'Macro mensual'!H87</f>
        <v>3.3826666666666698</v>
      </c>
      <c r="L5" s="233">
        <f>+'Macro mensual'!H99</f>
        <v>3.3953571428571401</v>
      </c>
      <c r="M5" s="233">
        <f>+'Macro mensual'!H111</f>
        <v>3.2461842105263199</v>
      </c>
      <c r="N5" s="233">
        <f>+'Macro mensual'!H123</f>
        <v>3.3640263157894701</v>
      </c>
      <c r="O5" s="233">
        <f>+'Macro mensual'!H135</f>
        <v>3.355</v>
      </c>
    </row>
    <row r="6" spans="2:17" x14ac:dyDescent="0.25">
      <c r="Q6" s="27"/>
    </row>
    <row r="7" spans="2:17" ht="13" x14ac:dyDescent="0.3">
      <c r="B7" s="24" t="s">
        <v>222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Q7" s="27"/>
    </row>
    <row r="8" spans="2:17" ht="13" x14ac:dyDescent="0.3">
      <c r="C8" s="152"/>
      <c r="O8" s="41"/>
      <c r="P8" s="153"/>
    </row>
    <row r="9" spans="2:17" ht="13" x14ac:dyDescent="0.3">
      <c r="B9" s="7" t="s">
        <v>221</v>
      </c>
      <c r="C9" s="7"/>
      <c r="D9" s="7"/>
      <c r="E9" s="7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7" ht="8.25" customHeight="1" x14ac:dyDescent="0.3">
      <c r="B10" s="7"/>
      <c r="C10" s="7"/>
      <c r="D10" s="7"/>
      <c r="E10" s="7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7" ht="13.5" thickBot="1" x14ac:dyDescent="0.35">
      <c r="B11" s="25"/>
      <c r="C11" s="247" t="s">
        <v>575</v>
      </c>
      <c r="D11" s="248" t="s">
        <v>207</v>
      </c>
      <c r="E11" s="248" t="s">
        <v>39</v>
      </c>
      <c r="F11" s="249">
        <v>3.4094169919693509E-2</v>
      </c>
      <c r="G11" s="249">
        <v>4.6938479757361179E-3</v>
      </c>
      <c r="H11" s="249">
        <v>2.7832010005061913E-4</v>
      </c>
      <c r="I11" s="249">
        <v>1.1175291329946421E-2</v>
      </c>
      <c r="J11" s="249">
        <v>-1.2989616088211951E-2</v>
      </c>
      <c r="K11" s="249">
        <v>4.5017604474472325E-3</v>
      </c>
      <c r="L11" s="249">
        <v>1.0552146632518095E-2</v>
      </c>
      <c r="M11" s="249">
        <v>-1.7825706620211541E-3</v>
      </c>
      <c r="N11" s="249">
        <v>1.141937178145265E-3</v>
      </c>
      <c r="O11" s="249">
        <v>-1.4930494427131024E-2</v>
      </c>
    </row>
    <row r="12" spans="2:17" x14ac:dyDescent="0.25">
      <c r="B12" s="25"/>
      <c r="C12" s="25"/>
      <c r="D12" s="6"/>
      <c r="E12" s="6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2:17" ht="13" x14ac:dyDescent="0.3">
      <c r="B13" s="24" t="s">
        <v>224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2:17" s="28" customFormat="1" ht="13" x14ac:dyDescent="0.3">
      <c r="B15" s="57" t="s">
        <v>223</v>
      </c>
    </row>
    <row r="16" spans="2:17" ht="13" x14ac:dyDescent="0.3">
      <c r="B16" s="7"/>
    </row>
    <row r="17" spans="2:15" ht="13" x14ac:dyDescent="0.3">
      <c r="B17" s="155" t="s">
        <v>312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spans="2:15" ht="7.5" customHeight="1" x14ac:dyDescent="0.3">
      <c r="B18" s="7"/>
    </row>
    <row r="19" spans="2:15" x14ac:dyDescent="0.25">
      <c r="C19" s="4" t="s">
        <v>308</v>
      </c>
      <c r="D19" s="6" t="s">
        <v>79</v>
      </c>
      <c r="E19" s="6" t="s">
        <v>208</v>
      </c>
      <c r="F19" s="231">
        <v>5.3379725571341625</v>
      </c>
      <c r="G19" s="231">
        <v>6.1722582105578105</v>
      </c>
      <c r="H19" s="231">
        <v>6.6294869457641452</v>
      </c>
      <c r="I19" s="231">
        <v>7.0180128391180059</v>
      </c>
      <c r="J19" s="231">
        <v>7.5310888743703783</v>
      </c>
      <c r="K19" s="231">
        <v>8.0452822692696522</v>
      </c>
      <c r="L19" s="231">
        <v>8.7994883461756626</v>
      </c>
      <c r="M19" s="231">
        <v>8.6694884037919522</v>
      </c>
      <c r="N19" s="231">
        <v>8.9056255362449512</v>
      </c>
      <c r="O19" s="231">
        <v>9.144318777680267</v>
      </c>
    </row>
    <row r="20" spans="2:15" ht="13" x14ac:dyDescent="0.3">
      <c r="C20" s="403" t="s">
        <v>307</v>
      </c>
      <c r="D20" s="120" t="s">
        <v>79</v>
      </c>
      <c r="E20" s="405" t="s">
        <v>309</v>
      </c>
      <c r="F20" s="404">
        <f t="shared" ref="F20:O20" si="0">+F19/F4</f>
        <v>1.9035305620437706</v>
      </c>
      <c r="G20" s="404">
        <f t="shared" si="0"/>
        <v>2.2767345795497826</v>
      </c>
      <c r="H20" s="404">
        <f t="shared" si="0"/>
        <v>2.5652223251608497</v>
      </c>
      <c r="I20" s="404">
        <f t="shared" si="0"/>
        <v>2.5206888382465413</v>
      </c>
      <c r="J20" s="404">
        <f t="shared" si="0"/>
        <v>2.5695714650609394</v>
      </c>
      <c r="K20" s="404">
        <f t="shared" si="0"/>
        <v>2.4214095811475902</v>
      </c>
      <c r="L20" s="404">
        <f t="shared" si="0"/>
        <v>2.5920989370295584</v>
      </c>
      <c r="M20" s="404">
        <f t="shared" si="0"/>
        <v>2.6708896748339601</v>
      </c>
      <c r="N20" s="404">
        <f t="shared" si="0"/>
        <v>2.6524282713215435</v>
      </c>
      <c r="O20" s="404">
        <f t="shared" si="0"/>
        <v>2.7196348104531376</v>
      </c>
    </row>
    <row r="21" spans="2:15" x14ac:dyDescent="0.25">
      <c r="C21" s="116"/>
      <c r="D21" s="76"/>
      <c r="E21" s="71"/>
      <c r="F21" s="230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3" x14ac:dyDescent="0.3">
      <c r="B22" s="31"/>
      <c r="C22" s="234" t="s">
        <v>99</v>
      </c>
      <c r="D22" s="235" t="s">
        <v>79</v>
      </c>
      <c r="E22" s="235" t="s">
        <v>39</v>
      </c>
      <c r="F22" s="223"/>
      <c r="G22" s="236">
        <f>+G20/F20-1</f>
        <v>0.19605885240177745</v>
      </c>
      <c r="H22" s="236">
        <f t="shared" ref="H22:O22" si="1">+H20/G20-1</f>
        <v>0.1267111889995165</v>
      </c>
      <c r="I22" s="236">
        <f t="shared" si="1"/>
        <v>-1.7360478457365658E-2</v>
      </c>
      <c r="J22" s="236">
        <f t="shared" si="1"/>
        <v>1.9392566854226301E-2</v>
      </c>
      <c r="K22" s="236">
        <f t="shared" si="1"/>
        <v>-5.7660153036387829E-2</v>
      </c>
      <c r="L22" s="236">
        <f t="shared" si="1"/>
        <v>7.049173225831229E-2</v>
      </c>
      <c r="M22" s="236">
        <f t="shared" si="1"/>
        <v>3.0396500950960137E-2</v>
      </c>
      <c r="N22" s="236">
        <f t="shared" si="1"/>
        <v>-6.912080153054001E-3</v>
      </c>
      <c r="O22" s="236">
        <f t="shared" si="1"/>
        <v>2.5337740461539138E-2</v>
      </c>
    </row>
    <row r="24" spans="2:15" ht="13" x14ac:dyDescent="0.3">
      <c r="B24" s="155" t="s">
        <v>313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2:15" ht="13" x14ac:dyDescent="0.3">
      <c r="B25" s="5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5" ht="13" x14ac:dyDescent="0.3">
      <c r="B26" s="57" t="s">
        <v>230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2:15" x14ac:dyDescent="0.25">
      <c r="C27" s="4" t="s">
        <v>311</v>
      </c>
      <c r="D27" s="6" t="s">
        <v>79</v>
      </c>
      <c r="E27" s="6" t="s">
        <v>39</v>
      </c>
      <c r="F27" s="237">
        <f>+'Macro mensual'!D27/'Macro mensual'!$D$39*100</f>
        <v>101.66313870879758</v>
      </c>
      <c r="G27" s="237">
        <f>+'Macro mensual'!D39/'Macro mensual'!$D$39*100</f>
        <v>100</v>
      </c>
      <c r="H27" s="237">
        <f>+'Macro mensual'!D51/'Macro mensual'!$D$39*100</f>
        <v>98.413614581079329</v>
      </c>
      <c r="I27" s="237">
        <f>+'Macro mensual'!D63/'Macro mensual'!$D$39*100</f>
        <v>104.69546163181445</v>
      </c>
      <c r="J27" s="237">
        <f>+'Macro mensual'!D75/'Macro mensual'!$D$39*100</f>
        <v>109.48568103204263</v>
      </c>
      <c r="K27" s="237">
        <f>+'Macro mensual'!D87/'Macro mensual'!$D$39*100</f>
        <v>120.26369666860298</v>
      </c>
      <c r="L27" s="237">
        <f>+'Macro mensual'!D99/'Macro mensual'!$D$39*100</f>
        <v>121.37300371405055</v>
      </c>
      <c r="M27" s="237">
        <f>+'Macro mensual'!D111/'Macro mensual'!$D$39*100</f>
        <v>117.23230762910384</v>
      </c>
      <c r="N27" s="237">
        <f>+'Macro mensual'!D123/'Macro mensual'!$D$39*100</f>
        <v>120.75637675976843</v>
      </c>
      <c r="O27" s="237">
        <f>+'Macro mensual'!D135/'Macro mensual'!$D$39*100</f>
        <v>121.6053061921377</v>
      </c>
    </row>
    <row r="28" spans="2:15" x14ac:dyDescent="0.25">
      <c r="C28" s="4" t="str">
        <f>+B5</f>
        <v>TC promedio diciembre</v>
      </c>
      <c r="D28" s="6" t="s">
        <v>305</v>
      </c>
      <c r="E28" s="6" t="s">
        <v>306</v>
      </c>
      <c r="F28" s="237">
        <f t="shared" ref="F28:O28" si="2">+F5</f>
        <v>2.8156750000000001</v>
      </c>
      <c r="G28" s="237">
        <f t="shared" si="2"/>
        <v>2.69626315789474</v>
      </c>
      <c r="H28" s="237">
        <f t="shared" si="2"/>
        <v>2.5668888888888901</v>
      </c>
      <c r="I28" s="237">
        <f t="shared" si="2"/>
        <v>2.78525</v>
      </c>
      <c r="J28" s="237">
        <f t="shared" si="2"/>
        <v>2.9615</v>
      </c>
      <c r="K28" s="237">
        <f t="shared" si="2"/>
        <v>3.3826666666666698</v>
      </c>
      <c r="L28" s="237">
        <f t="shared" si="2"/>
        <v>3.3953571428571401</v>
      </c>
      <c r="M28" s="237">
        <f t="shared" si="2"/>
        <v>3.2461842105263199</v>
      </c>
      <c r="N28" s="237">
        <f t="shared" si="2"/>
        <v>3.3640263157894701</v>
      </c>
      <c r="O28" s="237">
        <f t="shared" si="2"/>
        <v>3.355</v>
      </c>
    </row>
    <row r="29" spans="2:15" ht="13" x14ac:dyDescent="0.3">
      <c r="C29" s="119" t="s">
        <v>315</v>
      </c>
      <c r="D29" s="120" t="s">
        <v>305</v>
      </c>
      <c r="E29" s="120" t="s">
        <v>39</v>
      </c>
      <c r="F29" s="238">
        <f>+(F27/(F28/$G$28))</f>
        <v>97.35163874256564</v>
      </c>
      <c r="G29" s="238">
        <f t="shared" ref="G29:O29" si="3">+(G27/(G5/$G$5))</f>
        <v>100</v>
      </c>
      <c r="H29" s="238">
        <f t="shared" si="3"/>
        <v>103.37377842056748</v>
      </c>
      <c r="I29" s="238">
        <f t="shared" si="3"/>
        <v>101.35051287914681</v>
      </c>
      <c r="J29" s="238">
        <f t="shared" si="3"/>
        <v>99.679962209593612</v>
      </c>
      <c r="K29" s="238">
        <f t="shared" si="3"/>
        <v>95.860043720865875</v>
      </c>
      <c r="L29" s="238">
        <f t="shared" si="3"/>
        <v>96.382661531103977</v>
      </c>
      <c r="M29" s="238">
        <f t="shared" si="3"/>
        <v>97.372524624560995</v>
      </c>
      <c r="N29" s="238">
        <f t="shared" si="3"/>
        <v>96.7860947490271</v>
      </c>
      <c r="O29" s="238">
        <f t="shared" si="3"/>
        <v>97.72873528774069</v>
      </c>
    </row>
    <row r="30" spans="2:15" x14ac:dyDescent="0.25">
      <c r="D30" s="6"/>
      <c r="E30" s="6"/>
      <c r="F30" s="237"/>
      <c r="G30" s="98"/>
      <c r="H30" s="237"/>
      <c r="I30" s="237"/>
      <c r="J30" s="237"/>
      <c r="K30" s="237"/>
      <c r="L30" s="237"/>
      <c r="M30" s="237"/>
      <c r="N30" s="237"/>
      <c r="O30" s="237"/>
    </row>
    <row r="31" spans="2:15" x14ac:dyDescent="0.25">
      <c r="B31" s="25"/>
      <c r="C31" s="25" t="s">
        <v>100</v>
      </c>
      <c r="D31" s="6" t="s">
        <v>79</v>
      </c>
      <c r="E31" s="6" t="s">
        <v>39</v>
      </c>
      <c r="F31" s="102"/>
      <c r="G31" s="106">
        <f>+G29/F29-1</f>
        <v>2.7204074750478702E-2</v>
      </c>
      <c r="H31" s="106">
        <f t="shared" ref="H31:O31" si="4">+H29/G29-1</f>
        <v>3.3737784205674748E-2</v>
      </c>
      <c r="I31" s="106">
        <f t="shared" si="4"/>
        <v>-1.9572328421518903E-2</v>
      </c>
      <c r="J31" s="106">
        <f t="shared" si="4"/>
        <v>-1.6482902968090629E-2</v>
      </c>
      <c r="K31" s="106">
        <f t="shared" si="4"/>
        <v>-3.8321829222765169E-2</v>
      </c>
      <c r="L31" s="106">
        <f t="shared" si="4"/>
        <v>5.4518837041208634E-3</v>
      </c>
      <c r="M31" s="106">
        <f t="shared" si="4"/>
        <v>1.0270136534231034E-2</v>
      </c>
      <c r="N31" s="106">
        <f t="shared" si="4"/>
        <v>-6.0225394976148872E-3</v>
      </c>
      <c r="O31" s="106">
        <f t="shared" si="4"/>
        <v>9.7394211550525522E-3</v>
      </c>
    </row>
    <row r="32" spans="2:15" x14ac:dyDescent="0.25">
      <c r="B32" s="25"/>
      <c r="C32" s="25" t="s">
        <v>101</v>
      </c>
      <c r="D32" s="6" t="s">
        <v>79</v>
      </c>
      <c r="E32" s="6" t="s">
        <v>39</v>
      </c>
      <c r="F32" s="102"/>
      <c r="G32" s="102">
        <v>0.45578926452638446</v>
      </c>
      <c r="H32" s="102">
        <v>0.45373611259810742</v>
      </c>
      <c r="I32" s="102">
        <v>0.43424199321631213</v>
      </c>
      <c r="J32" s="102">
        <v>0.42067315361301644</v>
      </c>
      <c r="K32" s="102">
        <v>0.42329796830033073</v>
      </c>
      <c r="L32" s="102">
        <v>0.40835775807814723</v>
      </c>
      <c r="M32" s="102">
        <v>0.40256640871973426</v>
      </c>
      <c r="N32" s="102">
        <v>0.39746475031115203</v>
      </c>
      <c r="O32" s="102">
        <v>0.4043149110739499</v>
      </c>
    </row>
    <row r="33" spans="2:15" x14ac:dyDescent="0.25">
      <c r="D33" s="6"/>
      <c r="E33" s="6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2:15" ht="13" x14ac:dyDescent="0.3">
      <c r="B34" s="7" t="s">
        <v>231</v>
      </c>
      <c r="D34" s="6"/>
      <c r="E34" s="6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2:15" x14ac:dyDescent="0.25">
      <c r="C35" s="4" t="s">
        <v>576</v>
      </c>
      <c r="D35" s="6" t="s">
        <v>79</v>
      </c>
      <c r="E35" s="6" t="s">
        <v>39</v>
      </c>
      <c r="F35" s="237">
        <f>+'Macro mensual'!E27/'Macro mensual'!$E$39*100</f>
        <v>98.455314158500784</v>
      </c>
      <c r="G35" s="237">
        <f>+'Macro mensual'!E39/'Macro mensual'!$E$39*100</f>
        <v>100</v>
      </c>
      <c r="H35" s="237">
        <f>+'Macro mensual'!E51/'Macro mensual'!$E$39*100</f>
        <v>97.746294894945194</v>
      </c>
      <c r="I35" s="237">
        <f>+'Macro mensual'!E63/'Macro mensual'!$E$39*100</f>
        <v>99.756070471119799</v>
      </c>
      <c r="J35" s="237">
        <f>+'Macro mensual'!E75/'Macro mensual'!$E$39*100</f>
        <v>102.69767947229357</v>
      </c>
      <c r="K35" s="237">
        <f>+'Macro mensual'!E87/'Macro mensual'!$E$39*100</f>
        <v>105.53382735332602</v>
      </c>
      <c r="L35" s="237">
        <f>+'Macro mensual'!E99/'Macro mensual'!$E$39*100</f>
        <v>108.90257389216444</v>
      </c>
      <c r="M35" s="237">
        <f>+'Macro mensual'!E111/'Macro mensual'!$E$39*100</f>
        <v>111.73753367839755</v>
      </c>
      <c r="N35" s="237">
        <f>+'Macro mensual'!E123/'Macro mensual'!$E$39*100</f>
        <v>115.5123343094066</v>
      </c>
      <c r="O35" s="237">
        <f>+'Macro mensual'!E135/'Macro mensual'!$E$39*100</f>
        <v>114.80707185946493</v>
      </c>
    </row>
    <row r="36" spans="2:15" x14ac:dyDescent="0.25">
      <c r="C36" s="4" t="s">
        <v>314</v>
      </c>
      <c r="D36" s="6" t="s">
        <v>305</v>
      </c>
      <c r="E36" s="6" t="s">
        <v>306</v>
      </c>
      <c r="F36" s="237">
        <f t="shared" ref="F36:O36" si="5">+F5</f>
        <v>2.8156750000000001</v>
      </c>
      <c r="G36" s="237">
        <f t="shared" si="5"/>
        <v>2.69626315789474</v>
      </c>
      <c r="H36" s="237">
        <f t="shared" si="5"/>
        <v>2.5668888888888901</v>
      </c>
      <c r="I36" s="237">
        <f t="shared" si="5"/>
        <v>2.78525</v>
      </c>
      <c r="J36" s="237">
        <f t="shared" si="5"/>
        <v>2.9615</v>
      </c>
      <c r="K36" s="237">
        <f t="shared" si="5"/>
        <v>3.3826666666666698</v>
      </c>
      <c r="L36" s="237">
        <f t="shared" si="5"/>
        <v>3.3953571428571401</v>
      </c>
      <c r="M36" s="237">
        <f t="shared" si="5"/>
        <v>3.2461842105263199</v>
      </c>
      <c r="N36" s="237">
        <f t="shared" si="5"/>
        <v>3.3640263157894701</v>
      </c>
      <c r="O36" s="237">
        <f t="shared" si="5"/>
        <v>3.355</v>
      </c>
    </row>
    <row r="37" spans="2:15" ht="13" x14ac:dyDescent="0.3">
      <c r="C37" s="406" t="s">
        <v>577</v>
      </c>
      <c r="D37" s="120" t="s">
        <v>305</v>
      </c>
      <c r="E37" s="120" t="s">
        <v>39</v>
      </c>
      <c r="F37" s="241">
        <f>+(F35/(F36/$G$36))</f>
        <v>94.279856966630732</v>
      </c>
      <c r="G37" s="241">
        <f t="shared" ref="G37:O37" si="6">+(G35/(G36/$G$36))</f>
        <v>100</v>
      </c>
      <c r="H37" s="241">
        <f t="shared" si="6"/>
        <v>102.67282502439606</v>
      </c>
      <c r="I37" s="241">
        <f t="shared" si="6"/>
        <v>96.568931904723712</v>
      </c>
      <c r="J37" s="241">
        <f t="shared" si="6"/>
        <v>93.499905305564099</v>
      </c>
      <c r="K37" s="241">
        <f t="shared" si="6"/>
        <v>84.119128085651411</v>
      </c>
      <c r="L37" s="241">
        <f t="shared" si="6"/>
        <v>86.479856295254848</v>
      </c>
      <c r="M37" s="241">
        <f t="shared" si="6"/>
        <v>92.808594914038807</v>
      </c>
      <c r="N37" s="241">
        <f t="shared" si="6"/>
        <v>92.583000857941272</v>
      </c>
      <c r="O37" s="241">
        <f t="shared" si="6"/>
        <v>92.265298992682347</v>
      </c>
    </row>
    <row r="38" spans="2:15" x14ac:dyDescent="0.25">
      <c r="D38" s="6"/>
      <c r="E38" s="6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2:15" x14ac:dyDescent="0.25">
      <c r="B39" s="25"/>
      <c r="C39" s="25" t="s">
        <v>102</v>
      </c>
      <c r="D39" s="6" t="s">
        <v>79</v>
      </c>
      <c r="E39" s="6" t="s">
        <v>39</v>
      </c>
      <c r="F39" s="102"/>
      <c r="G39" s="106">
        <f>+G37/F37-1</f>
        <v>6.0671952815900543E-2</v>
      </c>
      <c r="H39" s="106">
        <f t="shared" ref="H39:O39" si="7">+H37/G37-1</f>
        <v>2.6728250243960527E-2</v>
      </c>
      <c r="I39" s="106">
        <f t="shared" si="7"/>
        <v>-5.9449938367060695E-2</v>
      </c>
      <c r="J39" s="106">
        <f t="shared" si="7"/>
        <v>-3.1780682861725751E-2</v>
      </c>
      <c r="K39" s="106">
        <f t="shared" si="7"/>
        <v>-0.10032926973835599</v>
      </c>
      <c r="L39" s="106">
        <f t="shared" si="7"/>
        <v>2.8064106979327041E-2</v>
      </c>
      <c r="M39" s="106">
        <f t="shared" si="7"/>
        <v>7.31816505010916E-2</v>
      </c>
      <c r="N39" s="106">
        <f t="shared" si="7"/>
        <v>-2.4307453022694991E-3</v>
      </c>
      <c r="O39" s="106">
        <f t="shared" si="7"/>
        <v>-3.4315356200907976E-3</v>
      </c>
    </row>
    <row r="40" spans="2:15" x14ac:dyDescent="0.25">
      <c r="C40" s="116" t="s">
        <v>103</v>
      </c>
      <c r="D40" s="76" t="s">
        <v>79</v>
      </c>
      <c r="E40" s="76" t="s">
        <v>39</v>
      </c>
      <c r="F40" s="239"/>
      <c r="G40" s="239">
        <v>0.54421073547361554</v>
      </c>
      <c r="H40" s="239">
        <v>0.54626388740189258</v>
      </c>
      <c r="I40" s="239">
        <v>0.56575800678368782</v>
      </c>
      <c r="J40" s="239">
        <v>0.57932684638698362</v>
      </c>
      <c r="K40" s="239">
        <v>0.57670203169966927</v>
      </c>
      <c r="L40" s="239">
        <v>0.59164224192185277</v>
      </c>
      <c r="M40" s="239">
        <v>0.59743359128026574</v>
      </c>
      <c r="N40" s="239">
        <v>0.60253524968884797</v>
      </c>
      <c r="O40" s="239">
        <v>0.5956850889260501</v>
      </c>
    </row>
    <row r="41" spans="2:15" x14ac:dyDescent="0.25">
      <c r="D41" s="6"/>
      <c r="E41" s="6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5" ht="13" x14ac:dyDescent="0.3">
      <c r="B42" s="31"/>
      <c r="C42" s="234" t="s">
        <v>104</v>
      </c>
      <c r="D42" s="235" t="s">
        <v>79</v>
      </c>
      <c r="E42" s="235" t="s">
        <v>39</v>
      </c>
      <c r="F42" s="223"/>
      <c r="G42" s="240">
        <f t="shared" ref="G42:O42" si="8">+G31*G32+G39*G40</f>
        <v>4.5417653287203208E-2</v>
      </c>
      <c r="H42" s="240">
        <f t="shared" si="8"/>
        <v>2.9908728934873147E-2</v>
      </c>
      <c r="I42" s="240">
        <f t="shared" si="8"/>
        <v>-4.2133405539605991E-2</v>
      </c>
      <c r="J42" s="240">
        <f t="shared" si="8"/>
        <v>-2.534531755059247E-2</v>
      </c>
      <c r="K42" s="240">
        <f t="shared" si="8"/>
        <v>-7.4081646148602784E-2</v>
      </c>
      <c r="L42" s="240">
        <f t="shared" si="8"/>
        <v>1.883023017750135E-2</v>
      </c>
      <c r="M42" s="240">
        <f t="shared" si="8"/>
        <v>4.7855588256331141E-2</v>
      </c>
      <c r="N42" s="240">
        <f t="shared" si="8"/>
        <v>-3.8583568852914988E-3</v>
      </c>
      <c r="O42" s="240">
        <f t="shared" si="8"/>
        <v>1.8936785972101236E-3</v>
      </c>
    </row>
    <row r="43" spans="2:15" ht="13" x14ac:dyDescent="0.3">
      <c r="C43" s="152" t="s">
        <v>234</v>
      </c>
    </row>
    <row r="44" spans="2:15" ht="13" x14ac:dyDescent="0.3">
      <c r="C44" s="152"/>
    </row>
    <row r="45" spans="2:15" x14ac:dyDescent="0.25">
      <c r="B45" s="25"/>
      <c r="C45" s="25" t="s">
        <v>105</v>
      </c>
      <c r="D45" s="6" t="s">
        <v>79</v>
      </c>
      <c r="E45" s="6" t="s">
        <v>39</v>
      </c>
      <c r="F45" s="102">
        <v>-2.1278209291129002E-3</v>
      </c>
      <c r="G45" s="106">
        <f t="shared" ref="G45:O45" si="9">+G22</f>
        <v>0.19605885240177745</v>
      </c>
      <c r="H45" s="106">
        <f t="shared" si="9"/>
        <v>0.1267111889995165</v>
      </c>
      <c r="I45" s="106">
        <f t="shared" si="9"/>
        <v>-1.7360478457365658E-2</v>
      </c>
      <c r="J45" s="106">
        <f t="shared" si="9"/>
        <v>1.9392566854226301E-2</v>
      </c>
      <c r="K45" s="106">
        <f t="shared" si="9"/>
        <v>-5.7660153036387829E-2</v>
      </c>
      <c r="L45" s="106">
        <f t="shared" si="9"/>
        <v>7.049173225831229E-2</v>
      </c>
      <c r="M45" s="106">
        <f t="shared" si="9"/>
        <v>3.0396500950960137E-2</v>
      </c>
      <c r="N45" s="106">
        <f t="shared" si="9"/>
        <v>-6.912080153054001E-3</v>
      </c>
      <c r="O45" s="106">
        <f t="shared" si="9"/>
        <v>2.5337740461539138E-2</v>
      </c>
    </row>
    <row r="46" spans="2:15" x14ac:dyDescent="0.25">
      <c r="B46" s="25"/>
      <c r="C46" s="25" t="s">
        <v>106</v>
      </c>
      <c r="D46" s="6" t="s">
        <v>79</v>
      </c>
      <c r="E46" s="6" t="s">
        <v>39</v>
      </c>
      <c r="F46" s="102">
        <v>0.33742331288343563</v>
      </c>
      <c r="G46" s="102">
        <v>0.33742331288343563</v>
      </c>
      <c r="H46" s="102">
        <v>0.33742331288343563</v>
      </c>
      <c r="I46" s="102">
        <v>0.33742331288343563</v>
      </c>
      <c r="J46" s="102">
        <v>0.33742331288343563</v>
      </c>
      <c r="K46" s="102">
        <v>0.33742331288343563</v>
      </c>
      <c r="L46" s="102">
        <v>0.33742331288343563</v>
      </c>
      <c r="M46" s="102">
        <v>0.33742331288343563</v>
      </c>
      <c r="N46" s="102">
        <v>0.33742331288343563</v>
      </c>
      <c r="O46" s="102">
        <v>0.33742331288343563</v>
      </c>
    </row>
    <row r="47" spans="2:15" x14ac:dyDescent="0.25">
      <c r="D47" s="6"/>
      <c r="E47" s="6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2:15" x14ac:dyDescent="0.25">
      <c r="B48" s="25"/>
      <c r="C48" s="25" t="s">
        <v>107</v>
      </c>
      <c r="D48" s="6" t="s">
        <v>79</v>
      </c>
      <c r="E48" s="6" t="s">
        <v>39</v>
      </c>
      <c r="F48" s="102">
        <v>2.1755171005531062E-2</v>
      </c>
      <c r="G48" s="106">
        <f t="shared" ref="G48:O48" si="10">+G42</f>
        <v>4.5417653287203208E-2</v>
      </c>
      <c r="H48" s="106">
        <f t="shared" si="10"/>
        <v>2.9908728934873147E-2</v>
      </c>
      <c r="I48" s="106">
        <f t="shared" si="10"/>
        <v>-4.2133405539605991E-2</v>
      </c>
      <c r="J48" s="106">
        <f t="shared" si="10"/>
        <v>-2.534531755059247E-2</v>
      </c>
      <c r="K48" s="106">
        <f t="shared" si="10"/>
        <v>-7.4081646148602784E-2</v>
      </c>
      <c r="L48" s="106">
        <f t="shared" si="10"/>
        <v>1.883023017750135E-2</v>
      </c>
      <c r="M48" s="106">
        <f t="shared" si="10"/>
        <v>4.7855588256331141E-2</v>
      </c>
      <c r="N48" s="106">
        <f t="shared" si="10"/>
        <v>-3.8583568852914988E-3</v>
      </c>
      <c r="O48" s="106">
        <f t="shared" si="10"/>
        <v>1.8936785972101236E-3</v>
      </c>
    </row>
    <row r="49" spans="2:15" x14ac:dyDescent="0.25">
      <c r="C49" s="103" t="s">
        <v>108</v>
      </c>
      <c r="D49" s="9" t="s">
        <v>79</v>
      </c>
      <c r="E49" s="9" t="s">
        <v>39</v>
      </c>
      <c r="F49" s="104">
        <v>0.66257668711656437</v>
      </c>
      <c r="G49" s="104">
        <v>0.66257668711656437</v>
      </c>
      <c r="H49" s="104">
        <v>0.66257668711656437</v>
      </c>
      <c r="I49" s="104">
        <v>0.66257668711656437</v>
      </c>
      <c r="J49" s="104">
        <v>0.66257668711656437</v>
      </c>
      <c r="K49" s="104">
        <v>0.66257668711656437</v>
      </c>
      <c r="L49" s="104">
        <v>0.66257668711656437</v>
      </c>
      <c r="M49" s="104">
        <v>0.66257668711656437</v>
      </c>
      <c r="N49" s="104">
        <v>0.66257668711656437</v>
      </c>
      <c r="O49" s="104">
        <v>0.66257668711656437</v>
      </c>
    </row>
    <row r="50" spans="2:15" ht="13" x14ac:dyDescent="0.3">
      <c r="B50" s="31"/>
      <c r="C50" s="31" t="s">
        <v>225</v>
      </c>
      <c r="D50" s="99" t="s">
        <v>79</v>
      </c>
      <c r="E50" s="99" t="s">
        <v>39</v>
      </c>
      <c r="F50" s="105">
        <f>+F45*F46+F48*F49</f>
        <v>1.3696492745375124E-2</v>
      </c>
      <c r="G50" s="105">
        <f>+G45*G46+G48*G49</f>
        <v>9.6247505749176121E-2</v>
      </c>
      <c r="H50" s="105">
        <f t="shared" ref="H50:O50" si="11">+H45*H46+H48*H49</f>
        <v>6.2572135705151577E-2</v>
      </c>
      <c r="I50" s="105">
        <f t="shared" si="11"/>
        <v>-3.3774442413696676E-2</v>
      </c>
      <c r="J50" s="105">
        <f t="shared" si="11"/>
        <v>-1.024971238332233E-2</v>
      </c>
      <c r="K50" s="105">
        <f t="shared" si="11"/>
        <v>-6.8540651540186695E-2</v>
      </c>
      <c r="L50" s="105">
        <f t="shared" si="11"/>
        <v>3.6262025358143081E-2</v>
      </c>
      <c r="M50" s="105">
        <f t="shared" si="11"/>
        <v>4.1964485177831724E-2</v>
      </c>
      <c r="N50" s="105">
        <f t="shared" si="11"/>
        <v>-4.8887543069291526E-3</v>
      </c>
      <c r="O50" s="105">
        <f t="shared" si="11"/>
        <v>9.8042516189162342E-3</v>
      </c>
    </row>
    <row r="52" spans="2:15" ht="13" x14ac:dyDescent="0.3">
      <c r="B52" s="7" t="s">
        <v>226</v>
      </c>
    </row>
    <row r="53" spans="2:15" ht="8.25" customHeight="1" x14ac:dyDescent="0.25"/>
    <row r="54" spans="2:15" ht="13.5" thickBot="1" x14ac:dyDescent="0.35">
      <c r="C54" s="250" t="s">
        <v>225</v>
      </c>
      <c r="D54" s="250" t="s">
        <v>316</v>
      </c>
      <c r="E54" s="248" t="s">
        <v>39</v>
      </c>
      <c r="F54" s="249"/>
      <c r="G54" s="251">
        <f>G50</f>
        <v>9.6247505749176121E-2</v>
      </c>
      <c r="H54" s="251">
        <f t="shared" ref="H54:O54" si="12">H50</f>
        <v>6.2572135705151577E-2</v>
      </c>
      <c r="I54" s="251">
        <f t="shared" si="12"/>
        <v>-3.3774442413696676E-2</v>
      </c>
      <c r="J54" s="251">
        <f t="shared" si="12"/>
        <v>-1.024971238332233E-2</v>
      </c>
      <c r="K54" s="251">
        <f t="shared" si="12"/>
        <v>-6.8540651540186695E-2</v>
      </c>
      <c r="L54" s="251">
        <f t="shared" si="12"/>
        <v>3.6262025358143081E-2</v>
      </c>
      <c r="M54" s="251">
        <f t="shared" si="12"/>
        <v>4.1964485177831724E-2</v>
      </c>
      <c r="N54" s="251">
        <f t="shared" si="12"/>
        <v>-4.8887543069291526E-3</v>
      </c>
      <c r="O54" s="251">
        <f t="shared" si="12"/>
        <v>9.8042516189162342E-3</v>
      </c>
    </row>
  </sheetData>
  <pageMargins left="0.7" right="0.7" top="0.75" bottom="0.75" header="0.3" footer="0.3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B743-60B2-425E-96E9-328662F918E7}">
  <sheetPr>
    <tabColor rgb="FF002060"/>
  </sheetPr>
  <dimension ref="A1"/>
  <sheetViews>
    <sheetView workbookViewId="0"/>
  </sheetViews>
  <sheetFormatPr defaultColWidth="10.75" defaultRowHeight="14" x14ac:dyDescent="0.3"/>
  <sheetData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188A-4CEC-417F-B669-F13E88AAF75E}">
  <dimension ref="A1:S129"/>
  <sheetViews>
    <sheetView showGridLines="0" zoomScale="85" zoomScaleNormal="85" workbookViewId="0">
      <pane xSplit="5" ySplit="1" topLeftCell="F80" activePane="bottomRight" state="frozen"/>
      <selection pane="topRight" activeCell="F1" sqref="F1"/>
      <selection pane="bottomLeft" activeCell="A2" sqref="A2"/>
      <selection pane="bottomRight" activeCell="A113" sqref="A113"/>
    </sheetView>
  </sheetViews>
  <sheetFormatPr defaultColWidth="9.5" defaultRowHeight="14" x14ac:dyDescent="0.3"/>
  <cols>
    <col min="1" max="1" width="3" style="117" customWidth="1"/>
    <col min="2" max="2" width="31.33203125" style="117" bestFit="1" customWidth="1"/>
    <col min="3" max="3" width="21.75" style="117" bestFit="1" customWidth="1"/>
    <col min="4" max="4" width="22.5" style="117" bestFit="1" customWidth="1"/>
    <col min="5" max="5" width="14.25" style="117" bestFit="1" customWidth="1"/>
    <col min="6" max="6" width="10.33203125" style="117" bestFit="1" customWidth="1"/>
    <col min="7" max="7" width="12.83203125" style="117" bestFit="1" customWidth="1"/>
    <col min="8" max="8" width="12" style="117" bestFit="1" customWidth="1"/>
    <col min="9" max="9" width="11.25" style="117" bestFit="1" customWidth="1"/>
    <col min="10" max="10" width="14" style="117" bestFit="1" customWidth="1"/>
    <col min="11" max="11" width="12.25" style="117" bestFit="1" customWidth="1"/>
    <col min="12" max="12" width="12" style="117" bestFit="1" customWidth="1"/>
    <col min="13" max="13" width="11.33203125" style="117" customWidth="1"/>
    <col min="14" max="14" width="14.33203125" style="117" bestFit="1" customWidth="1"/>
    <col min="15" max="15" width="12.58203125" style="117" bestFit="1" customWidth="1"/>
    <col min="16" max="17" width="15.25" style="117" bestFit="1" customWidth="1"/>
    <col min="18" max="18" width="9.58203125" style="117" bestFit="1" customWidth="1"/>
    <col min="19" max="16384" width="9.5" style="117"/>
  </cols>
  <sheetData>
    <row r="1" spans="1:19" x14ac:dyDescent="0.3">
      <c r="A1" s="309"/>
      <c r="B1" s="309"/>
      <c r="C1" s="274" t="s">
        <v>66</v>
      </c>
      <c r="D1" s="274" t="s">
        <v>2</v>
      </c>
      <c r="E1" s="274" t="s">
        <v>0</v>
      </c>
      <c r="F1" s="274"/>
      <c r="G1" s="310">
        <v>41518</v>
      </c>
      <c r="H1" s="310">
        <v>41609</v>
      </c>
      <c r="I1" s="310">
        <v>41699</v>
      </c>
      <c r="J1" s="310">
        <v>41760</v>
      </c>
      <c r="K1" s="310">
        <v>41883</v>
      </c>
      <c r="L1" s="310">
        <v>41974</v>
      </c>
      <c r="M1" s="310">
        <v>42064</v>
      </c>
      <c r="N1" s="310">
        <v>42095</v>
      </c>
      <c r="O1" s="310">
        <v>42248</v>
      </c>
      <c r="P1" s="310">
        <v>43132</v>
      </c>
      <c r="Q1" s="310">
        <v>43160</v>
      </c>
      <c r="R1" s="310">
        <v>43344</v>
      </c>
      <c r="S1" s="310">
        <v>43525</v>
      </c>
    </row>
    <row r="3" spans="1:19" x14ac:dyDescent="0.3">
      <c r="A3" s="130" t="s">
        <v>477</v>
      </c>
      <c r="B3" s="130"/>
      <c r="D3" s="129"/>
      <c r="E3" s="311"/>
      <c r="G3" s="129"/>
      <c r="H3" s="129"/>
      <c r="J3" s="129"/>
      <c r="L3" s="129"/>
      <c r="M3" s="129"/>
    </row>
    <row r="4" spans="1:19" x14ac:dyDescent="0.3">
      <c r="B4" s="117" t="s">
        <v>478</v>
      </c>
      <c r="C4" s="129" t="s">
        <v>17</v>
      </c>
      <c r="D4" s="129" t="s">
        <v>16</v>
      </c>
      <c r="E4" s="311">
        <v>217000000</v>
      </c>
      <c r="G4" s="129"/>
      <c r="H4" s="129"/>
      <c r="J4" s="129"/>
      <c r="L4" s="129"/>
      <c r="M4" s="129"/>
    </row>
    <row r="5" spans="1:19" x14ac:dyDescent="0.3">
      <c r="B5" s="117" t="s">
        <v>479</v>
      </c>
      <c r="C5" s="129" t="s">
        <v>17</v>
      </c>
      <c r="D5" s="129" t="s">
        <v>16</v>
      </c>
      <c r="E5" s="311">
        <v>50000000</v>
      </c>
      <c r="G5" s="129"/>
      <c r="H5" s="129"/>
      <c r="J5" s="129"/>
      <c r="L5" s="129"/>
      <c r="M5" s="129"/>
    </row>
    <row r="6" spans="1:19" x14ac:dyDescent="0.3">
      <c r="B6" s="117" t="s">
        <v>480</v>
      </c>
      <c r="C6" s="129" t="s">
        <v>17</v>
      </c>
      <c r="D6" s="129" t="s">
        <v>16</v>
      </c>
      <c r="E6" s="311">
        <v>13500000</v>
      </c>
      <c r="G6" s="129"/>
      <c r="H6" s="129"/>
      <c r="J6" s="129"/>
      <c r="L6" s="129"/>
      <c r="M6" s="129"/>
    </row>
    <row r="7" spans="1:19" x14ac:dyDescent="0.3">
      <c r="B7" s="130"/>
      <c r="E7" s="311"/>
      <c r="G7" s="129"/>
      <c r="H7" s="129"/>
      <c r="J7" s="129"/>
      <c r="L7" s="129"/>
      <c r="M7" s="129"/>
    </row>
    <row r="8" spans="1:19" x14ac:dyDescent="0.3">
      <c r="A8" s="312" t="s">
        <v>481</v>
      </c>
      <c r="B8" s="312"/>
      <c r="C8" s="312"/>
      <c r="D8" s="312"/>
      <c r="E8" s="313"/>
      <c r="F8" s="312"/>
      <c r="G8" s="314"/>
      <c r="H8" s="314"/>
      <c r="I8" s="312"/>
      <c r="J8" s="314"/>
      <c r="K8" s="312"/>
      <c r="L8" s="314"/>
      <c r="M8" s="314"/>
      <c r="N8" s="312"/>
      <c r="O8" s="312"/>
      <c r="P8" s="312"/>
      <c r="Q8" s="312"/>
      <c r="R8" s="312"/>
      <c r="S8" s="312"/>
    </row>
    <row r="9" spans="1:19" x14ac:dyDescent="0.3">
      <c r="B9" s="130"/>
      <c r="E9" s="311"/>
      <c r="G9" s="129"/>
      <c r="H9" s="129"/>
      <c r="J9" s="129"/>
      <c r="L9" s="129"/>
      <c r="M9" s="129"/>
    </row>
    <row r="10" spans="1:19" x14ac:dyDescent="0.3">
      <c r="A10" s="130" t="s">
        <v>482</v>
      </c>
      <c r="B10" s="130"/>
      <c r="E10" s="311"/>
      <c r="G10" s="129"/>
      <c r="H10" s="129"/>
      <c r="J10" s="129"/>
      <c r="L10" s="129"/>
      <c r="M10" s="129"/>
    </row>
    <row r="11" spans="1:19" x14ac:dyDescent="0.3">
      <c r="B11" s="117" t="s">
        <v>483</v>
      </c>
      <c r="C11" s="129" t="s">
        <v>17</v>
      </c>
      <c r="D11" s="129" t="s">
        <v>16</v>
      </c>
      <c r="G11" s="311">
        <v>18750000</v>
      </c>
      <c r="H11" s="129"/>
      <c r="J11" s="129"/>
      <c r="L11" s="129"/>
      <c r="M11" s="129"/>
    </row>
    <row r="12" spans="1:19" x14ac:dyDescent="0.3">
      <c r="B12" s="117" t="s">
        <v>484</v>
      </c>
      <c r="C12" s="129" t="s">
        <v>17</v>
      </c>
      <c r="D12" s="129" t="s">
        <v>16</v>
      </c>
      <c r="G12" s="311">
        <v>56250000</v>
      </c>
      <c r="J12" s="129"/>
      <c r="L12" s="129"/>
      <c r="M12" s="129"/>
    </row>
    <row r="13" spans="1:19" x14ac:dyDescent="0.3">
      <c r="B13" s="117" t="s">
        <v>485</v>
      </c>
      <c r="C13" s="129" t="s">
        <v>17</v>
      </c>
      <c r="D13" s="129" t="s">
        <v>16</v>
      </c>
      <c r="E13" s="311"/>
      <c r="G13" s="129"/>
      <c r="H13" s="311">
        <v>8000000</v>
      </c>
      <c r="J13" s="129"/>
      <c r="L13" s="129"/>
      <c r="M13" s="129"/>
    </row>
    <row r="14" spans="1:19" x14ac:dyDescent="0.3">
      <c r="B14" s="117" t="s">
        <v>486</v>
      </c>
      <c r="C14" s="129" t="s">
        <v>17</v>
      </c>
      <c r="D14" s="129" t="s">
        <v>16</v>
      </c>
      <c r="E14" s="311"/>
      <c r="G14" s="129"/>
      <c r="H14" s="311">
        <v>24000000</v>
      </c>
      <c r="J14" s="129"/>
      <c r="L14" s="129"/>
      <c r="M14" s="129"/>
    </row>
    <row r="15" spans="1:19" x14ac:dyDescent="0.3">
      <c r="B15" s="117" t="s">
        <v>487</v>
      </c>
      <c r="C15" s="129" t="s">
        <v>17</v>
      </c>
      <c r="D15" s="129" t="s">
        <v>16</v>
      </c>
      <c r="E15" s="311"/>
      <c r="G15" s="129"/>
      <c r="H15" s="129"/>
      <c r="J15" s="311">
        <v>15000000</v>
      </c>
      <c r="L15" s="129"/>
      <c r="M15" s="129"/>
    </row>
    <row r="16" spans="1:19" x14ac:dyDescent="0.3">
      <c r="B16" s="117" t="s">
        <v>488</v>
      </c>
      <c r="C16" s="129" t="s">
        <v>17</v>
      </c>
      <c r="D16" s="129" t="s">
        <v>16</v>
      </c>
      <c r="E16" s="311"/>
      <c r="G16" s="129"/>
      <c r="H16" s="129"/>
      <c r="J16" s="311">
        <v>45000000</v>
      </c>
      <c r="L16" s="129"/>
      <c r="M16" s="129"/>
    </row>
    <row r="17" spans="1:16" x14ac:dyDescent="0.3">
      <c r="B17" s="117" t="s">
        <v>489</v>
      </c>
      <c r="C17" s="129" t="s">
        <v>17</v>
      </c>
      <c r="D17" s="129" t="s">
        <v>16</v>
      </c>
      <c r="E17" s="311"/>
      <c r="G17" s="129"/>
      <c r="H17" s="129"/>
      <c r="J17" s="311"/>
      <c r="L17" s="311">
        <v>7500000</v>
      </c>
      <c r="M17" s="311"/>
    </row>
    <row r="18" spans="1:16" x14ac:dyDescent="0.3">
      <c r="B18" s="117" t="s">
        <v>490</v>
      </c>
      <c r="C18" s="129" t="s">
        <v>17</v>
      </c>
      <c r="D18" s="129" t="s">
        <v>16</v>
      </c>
      <c r="E18" s="311"/>
      <c r="G18" s="129"/>
      <c r="H18" s="129"/>
      <c r="J18" s="311"/>
      <c r="L18" s="311">
        <v>22500000</v>
      </c>
      <c r="M18" s="311"/>
    </row>
    <row r="19" spans="1:16" x14ac:dyDescent="0.3">
      <c r="B19" s="117" t="s">
        <v>491</v>
      </c>
      <c r="C19" s="129" t="s">
        <v>17</v>
      </c>
      <c r="D19" s="129" t="s">
        <v>16</v>
      </c>
      <c r="E19" s="311"/>
      <c r="G19" s="129"/>
      <c r="H19" s="129"/>
      <c r="J19" s="311"/>
      <c r="L19" s="129"/>
      <c r="M19" s="129"/>
      <c r="N19" s="311">
        <v>5000000</v>
      </c>
    </row>
    <row r="20" spans="1:16" x14ac:dyDescent="0.3">
      <c r="B20" s="117" t="s">
        <v>492</v>
      </c>
      <c r="C20" s="129" t="s">
        <v>17</v>
      </c>
      <c r="D20" s="129" t="s">
        <v>16</v>
      </c>
      <c r="E20" s="311"/>
      <c r="G20" s="129"/>
      <c r="H20" s="129"/>
      <c r="J20" s="311"/>
      <c r="L20" s="129"/>
      <c r="M20" s="129"/>
      <c r="N20" s="311">
        <v>15000000</v>
      </c>
    </row>
    <row r="21" spans="1:16" x14ac:dyDescent="0.3">
      <c r="C21" s="129"/>
      <c r="D21" s="129"/>
      <c r="E21" s="311"/>
      <c r="G21" s="129"/>
      <c r="H21" s="129"/>
      <c r="J21" s="311"/>
      <c r="L21" s="129"/>
      <c r="M21" s="129"/>
      <c r="N21" s="311"/>
    </row>
    <row r="22" spans="1:16" x14ac:dyDescent="0.3">
      <c r="B22" s="117" t="s">
        <v>493</v>
      </c>
      <c r="C22" s="129" t="s">
        <v>17</v>
      </c>
      <c r="D22" s="129" t="s">
        <v>16</v>
      </c>
      <c r="E22" s="311"/>
      <c r="G22" s="129"/>
      <c r="H22" s="129"/>
      <c r="J22" s="311"/>
      <c r="L22" s="129"/>
      <c r="M22" s="129"/>
      <c r="O22" s="311">
        <v>12500000</v>
      </c>
    </row>
    <row r="23" spans="1:16" x14ac:dyDescent="0.3">
      <c r="B23" s="117" t="s">
        <v>494</v>
      </c>
      <c r="C23" s="129" t="s">
        <v>17</v>
      </c>
      <c r="D23" s="129" t="s">
        <v>16</v>
      </c>
      <c r="E23" s="311"/>
      <c r="G23" s="129"/>
      <c r="H23" s="129"/>
      <c r="J23" s="311"/>
      <c r="L23" s="129"/>
      <c r="M23" s="129"/>
      <c r="O23" s="311">
        <v>37500000</v>
      </c>
    </row>
    <row r="24" spans="1:16" x14ac:dyDescent="0.3">
      <c r="C24" s="129"/>
      <c r="D24" s="129"/>
      <c r="E24" s="311"/>
      <c r="G24" s="129"/>
      <c r="H24" s="129"/>
      <c r="J24" s="311"/>
      <c r="L24" s="129"/>
      <c r="M24" s="129"/>
      <c r="O24" s="311"/>
    </row>
    <row r="25" spans="1:16" x14ac:dyDescent="0.3">
      <c r="B25" s="117" t="s">
        <v>495</v>
      </c>
      <c r="C25" s="129" t="s">
        <v>17</v>
      </c>
      <c r="D25" s="129" t="s">
        <v>16</v>
      </c>
      <c r="E25" s="311"/>
      <c r="G25" s="129"/>
      <c r="H25" s="129"/>
      <c r="J25" s="311"/>
      <c r="L25" s="129"/>
      <c r="M25" s="129"/>
      <c r="P25" s="311">
        <v>3375000</v>
      </c>
    </row>
    <row r="26" spans="1:16" x14ac:dyDescent="0.3">
      <c r="B26" s="117" t="s">
        <v>496</v>
      </c>
      <c r="C26" s="129" t="s">
        <v>17</v>
      </c>
      <c r="D26" s="129" t="s">
        <v>16</v>
      </c>
      <c r="E26" s="311"/>
      <c r="G26" s="129"/>
      <c r="H26" s="129"/>
      <c r="J26" s="311"/>
      <c r="L26" s="129"/>
      <c r="M26" s="129"/>
      <c r="P26" s="311">
        <v>10125000</v>
      </c>
    </row>
    <row r="27" spans="1:16" x14ac:dyDescent="0.3">
      <c r="B27" s="315" t="s">
        <v>497</v>
      </c>
      <c r="C27" s="316"/>
      <c r="D27" s="316"/>
      <c r="E27" s="311"/>
      <c r="F27" s="315"/>
      <c r="G27" s="317">
        <f>+SUM(G11:G26)</f>
        <v>75000000</v>
      </c>
      <c r="H27" s="317">
        <f>+SUM(H11:H26)</f>
        <v>32000000</v>
      </c>
      <c r="I27" s="317">
        <f>+SUM(I11:I26)</f>
        <v>0</v>
      </c>
      <c r="J27" s="317">
        <f>+SUM(J11:J26)</f>
        <v>60000000</v>
      </c>
      <c r="K27" s="317">
        <f>+SUM(K11:K26)</f>
        <v>0</v>
      </c>
      <c r="L27" s="317">
        <f t="shared" ref="L27:P27" si="0">+SUM(L11:L26)</f>
        <v>30000000</v>
      </c>
      <c r="M27" s="317">
        <f t="shared" si="0"/>
        <v>0</v>
      </c>
      <c r="N27" s="317">
        <f t="shared" si="0"/>
        <v>20000000</v>
      </c>
      <c r="O27" s="317">
        <f t="shared" si="0"/>
        <v>50000000</v>
      </c>
      <c r="P27" s="317">
        <f t="shared" si="0"/>
        <v>13500000</v>
      </c>
    </row>
    <row r="28" spans="1:16" x14ac:dyDescent="0.3">
      <c r="C28" s="129"/>
      <c r="D28" s="129"/>
      <c r="E28" s="311"/>
      <c r="G28" s="129"/>
      <c r="H28" s="129"/>
      <c r="J28" s="311"/>
      <c r="L28" s="129"/>
      <c r="M28" s="129"/>
    </row>
    <row r="29" spans="1:16" x14ac:dyDescent="0.3">
      <c r="A29" s="130" t="s">
        <v>498</v>
      </c>
      <c r="B29" s="130"/>
      <c r="E29" s="311"/>
      <c r="G29" s="129"/>
      <c r="H29" s="129"/>
      <c r="J29" s="129"/>
      <c r="L29" s="129"/>
      <c r="M29" s="129"/>
    </row>
    <row r="30" spans="1:16" x14ac:dyDescent="0.3">
      <c r="B30" s="117" t="s">
        <v>483</v>
      </c>
      <c r="C30" s="129" t="s">
        <v>39</v>
      </c>
      <c r="D30" s="129" t="s">
        <v>16</v>
      </c>
      <c r="G30" s="318">
        <v>4.129E-2</v>
      </c>
      <c r="H30" s="129"/>
      <c r="J30" s="129"/>
      <c r="L30" s="129"/>
      <c r="M30" s="129"/>
    </row>
    <row r="31" spans="1:16" x14ac:dyDescent="0.3">
      <c r="B31" s="117" t="s">
        <v>484</v>
      </c>
      <c r="C31" s="129" t="s">
        <v>39</v>
      </c>
      <c r="D31" s="129" t="s">
        <v>16</v>
      </c>
      <c r="G31" s="318">
        <v>6.2119999999999995E-2</v>
      </c>
      <c r="J31" s="129"/>
      <c r="L31" s="129"/>
      <c r="M31" s="129"/>
    </row>
    <row r="32" spans="1:16" x14ac:dyDescent="0.3">
      <c r="B32" s="117" t="s">
        <v>485</v>
      </c>
      <c r="C32" s="129" t="s">
        <v>39</v>
      </c>
      <c r="D32" s="129" t="s">
        <v>16</v>
      </c>
      <c r="E32" s="311"/>
      <c r="G32" s="129"/>
      <c r="H32" s="318">
        <v>3.9949999999999999E-2</v>
      </c>
      <c r="J32" s="246"/>
      <c r="L32" s="246"/>
      <c r="M32" s="246"/>
      <c r="N32" s="246"/>
      <c r="O32" s="246"/>
      <c r="P32" s="246"/>
    </row>
    <row r="33" spans="1:16" x14ac:dyDescent="0.3">
      <c r="B33" s="117" t="s">
        <v>486</v>
      </c>
      <c r="C33" s="129" t="s">
        <v>39</v>
      </c>
      <c r="D33" s="129" t="s">
        <v>16</v>
      </c>
      <c r="E33" s="311"/>
      <c r="G33" s="129"/>
      <c r="H33" s="318">
        <v>6.2659999999999993E-2</v>
      </c>
      <c r="J33" s="246"/>
      <c r="L33" s="246"/>
      <c r="M33" s="246"/>
      <c r="N33" s="246"/>
      <c r="O33" s="246"/>
      <c r="P33" s="246"/>
    </row>
    <row r="34" spans="1:16" x14ac:dyDescent="0.3">
      <c r="B34" s="117" t="s">
        <v>487</v>
      </c>
      <c r="C34" s="129" t="s">
        <v>39</v>
      </c>
      <c r="D34" s="129" t="s">
        <v>16</v>
      </c>
      <c r="E34" s="311"/>
      <c r="G34" s="129"/>
      <c r="H34" s="319"/>
      <c r="J34" s="318">
        <v>3.977E-2</v>
      </c>
      <c r="L34" s="318"/>
      <c r="M34" s="318"/>
      <c r="N34" s="318"/>
      <c r="O34" s="318"/>
      <c r="P34" s="318"/>
    </row>
    <row r="35" spans="1:16" x14ac:dyDescent="0.3">
      <c r="B35" s="117" t="s">
        <v>488</v>
      </c>
      <c r="C35" s="129" t="s">
        <v>39</v>
      </c>
      <c r="D35" s="129" t="s">
        <v>16</v>
      </c>
      <c r="E35" s="311"/>
      <c r="G35" s="129"/>
      <c r="H35" s="319"/>
      <c r="J35" s="318">
        <v>5.5474999999999997E-2</v>
      </c>
      <c r="L35" s="318"/>
      <c r="M35" s="318"/>
      <c r="N35" s="318"/>
      <c r="O35" s="318"/>
      <c r="P35" s="318"/>
    </row>
    <row r="36" spans="1:16" x14ac:dyDescent="0.3">
      <c r="B36" s="117" t="s">
        <v>489</v>
      </c>
      <c r="C36" s="129" t="s">
        <v>39</v>
      </c>
      <c r="D36" s="129" t="s">
        <v>16</v>
      </c>
      <c r="E36" s="311"/>
      <c r="G36" s="129"/>
      <c r="H36" s="319"/>
      <c r="J36" s="319"/>
      <c r="L36" s="318">
        <v>4.0779999999999997E-2</v>
      </c>
      <c r="M36" s="318"/>
      <c r="N36" s="319"/>
      <c r="O36" s="319"/>
      <c r="P36" s="319"/>
    </row>
    <row r="37" spans="1:16" x14ac:dyDescent="0.3">
      <c r="B37" s="117" t="s">
        <v>490</v>
      </c>
      <c r="C37" s="129" t="s">
        <v>39</v>
      </c>
      <c r="D37" s="129" t="s">
        <v>16</v>
      </c>
      <c r="E37" s="311"/>
      <c r="G37" s="129"/>
      <c r="H37" s="319"/>
      <c r="J37" s="318"/>
      <c r="L37" s="318">
        <v>5.5474999999999997E-2</v>
      </c>
      <c r="M37" s="318"/>
      <c r="N37" s="318"/>
      <c r="O37" s="318"/>
      <c r="P37" s="318"/>
    </row>
    <row r="38" spans="1:16" x14ac:dyDescent="0.3">
      <c r="B38" s="117" t="s">
        <v>491</v>
      </c>
      <c r="C38" s="129" t="s">
        <v>39</v>
      </c>
      <c r="D38" s="129" t="s">
        <v>16</v>
      </c>
      <c r="E38" s="311"/>
      <c r="G38" s="129"/>
      <c r="H38" s="319"/>
      <c r="J38" s="318"/>
      <c r="L38" s="318"/>
      <c r="M38" s="318"/>
      <c r="N38" s="318">
        <v>4.1520000000000001E-2</v>
      </c>
      <c r="O38" s="318"/>
      <c r="P38" s="318"/>
    </row>
    <row r="39" spans="1:16" x14ac:dyDescent="0.3">
      <c r="B39" s="117" t="s">
        <v>492</v>
      </c>
      <c r="C39" s="129" t="s">
        <v>39</v>
      </c>
      <c r="D39" s="129" t="s">
        <v>16</v>
      </c>
      <c r="E39" s="311"/>
      <c r="G39" s="129"/>
      <c r="H39" s="319"/>
      <c r="J39" s="319"/>
      <c r="L39" s="319"/>
      <c r="M39" s="319"/>
      <c r="N39" s="318">
        <v>5.5899999999999998E-2</v>
      </c>
      <c r="O39" s="319"/>
      <c r="P39" s="319"/>
    </row>
    <row r="40" spans="1:16" x14ac:dyDescent="0.3">
      <c r="C40" s="129"/>
      <c r="D40" s="129"/>
      <c r="E40" s="311"/>
      <c r="G40" s="129"/>
      <c r="H40" s="319"/>
      <c r="J40" s="318"/>
      <c r="L40" s="318"/>
      <c r="M40" s="318"/>
      <c r="N40" s="318"/>
      <c r="O40" s="318"/>
      <c r="P40" s="318"/>
    </row>
    <row r="41" spans="1:16" x14ac:dyDescent="0.3">
      <c r="B41" s="117" t="s">
        <v>493</v>
      </c>
      <c r="C41" s="129" t="s">
        <v>39</v>
      </c>
      <c r="D41" s="129" t="s">
        <v>16</v>
      </c>
      <c r="E41" s="311"/>
      <c r="G41" s="129"/>
      <c r="H41" s="319"/>
      <c r="J41" s="318"/>
      <c r="L41" s="318"/>
      <c r="M41" s="318"/>
      <c r="N41" s="318"/>
      <c r="O41" s="318">
        <v>5.287E-2</v>
      </c>
      <c r="P41" s="318"/>
    </row>
    <row r="42" spans="1:16" x14ac:dyDescent="0.3">
      <c r="B42" s="117" t="s">
        <v>494</v>
      </c>
      <c r="C42" s="129" t="s">
        <v>39</v>
      </c>
      <c r="D42" s="129" t="s">
        <v>16</v>
      </c>
      <c r="E42" s="311"/>
      <c r="G42" s="129"/>
      <c r="H42" s="319"/>
      <c r="J42" s="319"/>
      <c r="L42" s="319"/>
      <c r="M42" s="319"/>
      <c r="N42" s="319"/>
      <c r="O42" s="318">
        <v>6.59E-2</v>
      </c>
      <c r="P42" s="319"/>
    </row>
    <row r="43" spans="1:16" x14ac:dyDescent="0.3">
      <c r="C43" s="129"/>
      <c r="D43" s="129"/>
      <c r="E43" s="311"/>
      <c r="G43" s="129"/>
      <c r="H43" s="319"/>
      <c r="J43" s="318"/>
      <c r="L43" s="318"/>
      <c r="M43" s="318"/>
      <c r="N43" s="318"/>
      <c r="O43" s="318"/>
      <c r="P43" s="318"/>
    </row>
    <row r="44" spans="1:16" x14ac:dyDescent="0.3">
      <c r="B44" s="117" t="s">
        <v>495</v>
      </c>
      <c r="C44" s="129" t="s">
        <v>39</v>
      </c>
      <c r="D44" s="129" t="s">
        <v>16</v>
      </c>
      <c r="E44" s="311"/>
      <c r="G44" s="129"/>
      <c r="H44" s="319"/>
      <c r="J44" s="318"/>
      <c r="L44" s="318"/>
      <c r="M44" s="318"/>
      <c r="N44" s="318"/>
      <c r="O44" s="318"/>
      <c r="P44" s="318">
        <v>5.7089000000000001E-2</v>
      </c>
    </row>
    <row r="45" spans="1:16" x14ac:dyDescent="0.3">
      <c r="B45" s="117" t="s">
        <v>496</v>
      </c>
      <c r="C45" s="129" t="s">
        <v>39</v>
      </c>
      <c r="D45" s="129" t="s">
        <v>16</v>
      </c>
      <c r="E45" s="311"/>
      <c r="G45" s="129"/>
      <c r="H45" s="319"/>
      <c r="J45" s="319"/>
      <c r="L45" s="319"/>
      <c r="M45" s="319"/>
      <c r="N45" s="319"/>
      <c r="O45" s="319"/>
      <c r="P45" s="318">
        <v>7.4700000000000003E-2</v>
      </c>
    </row>
    <row r="46" spans="1:16" x14ac:dyDescent="0.3">
      <c r="C46" s="129"/>
      <c r="D46" s="129"/>
      <c r="E46" s="311"/>
      <c r="G46" s="129"/>
      <c r="H46" s="319"/>
      <c r="J46" s="319"/>
      <c r="L46" s="319"/>
      <c r="M46" s="319"/>
      <c r="N46" s="319"/>
      <c r="O46" s="319"/>
      <c r="P46" s="318"/>
    </row>
    <row r="47" spans="1:16" x14ac:dyDescent="0.3">
      <c r="A47" s="130" t="s">
        <v>499</v>
      </c>
      <c r="B47" s="130"/>
      <c r="E47" s="311"/>
      <c r="G47" s="129"/>
      <c r="H47" s="129"/>
      <c r="J47" s="129"/>
      <c r="L47" s="129"/>
      <c r="M47" s="129"/>
    </row>
    <row r="48" spans="1:16" x14ac:dyDescent="0.3">
      <c r="B48" s="320" t="s">
        <v>499</v>
      </c>
      <c r="C48" s="321" t="s">
        <v>39</v>
      </c>
      <c r="D48" s="321" t="s">
        <v>16</v>
      </c>
      <c r="E48" s="320"/>
      <c r="F48" s="320"/>
      <c r="G48" s="322">
        <f>+IFERROR(SUMPRODUCT(G30:G45,G11:G26)/SUM(G11:G26),0)</f>
        <v>5.6912499999999998E-2</v>
      </c>
      <c r="H48" s="322">
        <f t="shared" ref="H48:P48" si="1">+IFERROR(SUMPRODUCT(H30:H45,H11:H26)/SUM(H11:H26),0)</f>
        <v>5.6982499999999991E-2</v>
      </c>
      <c r="I48" s="322">
        <f t="shared" si="1"/>
        <v>0</v>
      </c>
      <c r="J48" s="322">
        <f t="shared" si="1"/>
        <v>5.1548749999999997E-2</v>
      </c>
      <c r="K48" s="322">
        <f t="shared" si="1"/>
        <v>0</v>
      </c>
      <c r="L48" s="322">
        <f t="shared" si="1"/>
        <v>5.180125E-2</v>
      </c>
      <c r="M48" s="322">
        <f t="shared" si="1"/>
        <v>0</v>
      </c>
      <c r="N48" s="322">
        <f t="shared" si="1"/>
        <v>5.2304999999999997E-2</v>
      </c>
      <c r="O48" s="322">
        <f t="shared" si="1"/>
        <v>6.2642500000000004E-2</v>
      </c>
      <c r="P48" s="322">
        <f t="shared" si="1"/>
        <v>7.0297250000000006E-2</v>
      </c>
    </row>
    <row r="49" spans="1:19" x14ac:dyDescent="0.3">
      <c r="C49" s="129"/>
      <c r="D49" s="129"/>
      <c r="E49" s="311"/>
      <c r="G49" s="129"/>
      <c r="H49" s="319"/>
      <c r="J49" s="319"/>
      <c r="L49" s="319"/>
      <c r="M49" s="319"/>
      <c r="N49" s="319"/>
      <c r="O49" s="319"/>
      <c r="P49" s="318"/>
    </row>
    <row r="50" spans="1:19" ht="14.5" thickBot="1" x14ac:dyDescent="0.35">
      <c r="B50" s="130"/>
      <c r="E50" s="311"/>
      <c r="G50" s="129"/>
      <c r="H50" s="129"/>
      <c r="I50" s="129"/>
      <c r="J50" s="129"/>
    </row>
    <row r="51" spans="1:19" x14ac:dyDescent="0.3">
      <c r="A51" s="323" t="s">
        <v>481</v>
      </c>
      <c r="B51" s="324"/>
      <c r="C51" s="325"/>
      <c r="D51" s="325"/>
      <c r="E51" s="326"/>
      <c r="F51" s="325"/>
      <c r="G51" s="327">
        <v>2013</v>
      </c>
      <c r="H51" s="327">
        <v>2014</v>
      </c>
      <c r="I51" s="327">
        <v>2015</v>
      </c>
      <c r="J51" s="327">
        <v>2016</v>
      </c>
      <c r="K51" s="324">
        <v>2017</v>
      </c>
      <c r="L51" s="324">
        <v>2018</v>
      </c>
      <c r="M51" s="328">
        <v>2019</v>
      </c>
    </row>
    <row r="52" spans="1:19" ht="3" customHeight="1" x14ac:dyDescent="0.3">
      <c r="A52" s="329"/>
      <c r="B52" s="130"/>
      <c r="E52" s="311"/>
      <c r="M52" s="330"/>
    </row>
    <row r="53" spans="1:19" x14ac:dyDescent="0.3">
      <c r="A53" s="329"/>
      <c r="B53" s="117" t="s">
        <v>500</v>
      </c>
      <c r="E53" s="311"/>
      <c r="G53" s="331" cm="1">
        <f t="array" ref="G53">+SUM((((G51)&gt;=YEAR($G$1:$P$1))*($G$48:$P$48))*(((G51)&gt;=YEAR($G$1:$P$1))*($G$27:$P$27)))/((SUM(($G$27:$P$27)*(G51&gt;=YEAR($G$1:$P$1)))))</f>
        <v>5.6933434579439252E-2</v>
      </c>
      <c r="H53" s="331" cm="1">
        <f t="array" ref="H53">+SUM((((H51)&gt;=YEAR($G$1:$P$1))*($G$48:$P$48))*(((H51)&gt;=YEAR($G$1:$P$1))*($G$27:$P$27)))/((SUM(($G$27:$P$27)*(H51&gt;=YEAR($G$1:$P$1)))))</f>
        <v>5.4511878172588832E-2</v>
      </c>
      <c r="I53" s="331" cm="1">
        <f t="array" ref="I53">+SUM((((I51)&gt;=YEAR($G$1:$P$1))*($G$48:$P$48))*(((I51)&gt;=YEAR($G$1:$P$1))*($G$27:$P$27)))/((SUM(($G$27:$P$27)*(I51&gt;=YEAR($G$1:$P$1)))))</f>
        <v>5.5869157303370789E-2</v>
      </c>
      <c r="J53" s="331" cm="1">
        <f t="array" ref="J53">+SUM((((J51)&gt;=YEAR($G$1:$P$1))*($G$48:$P$48))*(((J51)&gt;=YEAR($G$1:$P$1))*($G$27:$P$27)))/((SUM(($G$27:$P$27)*(J51&gt;=YEAR($G$1:$P$1)))))</f>
        <v>5.5869157303370789E-2</v>
      </c>
      <c r="K53" s="331" cm="1">
        <f t="array" ref="K53">+SUM((((K51)&gt;=YEAR($G$1:$P$1))*($G$48:$P$48))*(((K51)&gt;=YEAR($G$1:$P$1))*($G$27:$P$27)))/((SUM(($G$27:$P$27)*(K51&gt;=YEAR($G$1:$P$1)))))</f>
        <v>5.5869157303370789E-2</v>
      </c>
      <c r="L53" s="331" cm="1">
        <f t="array" ref="L53">+SUM((((L51)&gt;=YEAR($G$1:$P$1))*($G$48:$P$48))*(((L51)&gt;=YEAR($G$1:$P$1))*($G$27:$P$27)))/((SUM(($G$27:$P$27)*(L51&gt;=YEAR($G$1:$P$1)))))</f>
        <v>5.6563557486631014E-2</v>
      </c>
      <c r="M53" s="332" cm="1">
        <f t="array" ref="M53">+SUM((((M51)&gt;=YEAR($G$1:$P$1))*($G$48:$P$48))*(((M51)&gt;=YEAR($G$1:$P$1))*($G$27:$P$27)))/((SUM(($G$27:$P$27)*(M51&gt;=YEAR($G$1:$P$1)))))</f>
        <v>5.6563557486631014E-2</v>
      </c>
    </row>
    <row r="54" spans="1:19" ht="5.25" customHeight="1" thickBot="1" x14ac:dyDescent="0.35">
      <c r="A54" s="333"/>
      <c r="B54" s="334"/>
      <c r="C54" s="335"/>
      <c r="D54" s="335"/>
      <c r="E54" s="336"/>
      <c r="F54" s="335"/>
      <c r="G54" s="337"/>
      <c r="H54" s="337"/>
      <c r="I54" s="337"/>
      <c r="J54" s="337"/>
      <c r="K54" s="335"/>
      <c r="L54" s="335"/>
      <c r="M54" s="338"/>
    </row>
    <row r="55" spans="1:19" x14ac:dyDescent="0.3">
      <c r="B55" s="130"/>
      <c r="E55" s="311"/>
      <c r="G55" s="129"/>
      <c r="H55" s="129"/>
      <c r="I55" s="129"/>
      <c r="J55" s="129"/>
    </row>
    <row r="56" spans="1:19" x14ac:dyDescent="0.3">
      <c r="A56" s="312" t="s">
        <v>501</v>
      </c>
      <c r="B56" s="312"/>
      <c r="C56" s="312"/>
      <c r="D56" s="312"/>
      <c r="E56" s="313"/>
      <c r="F56" s="312"/>
      <c r="G56" s="314"/>
      <c r="H56" s="314"/>
      <c r="I56" s="312"/>
      <c r="J56" s="314"/>
      <c r="K56" s="312"/>
      <c r="L56" s="314"/>
      <c r="M56" s="314"/>
      <c r="N56" s="312"/>
      <c r="O56" s="312"/>
      <c r="P56" s="312"/>
      <c r="Q56" s="312"/>
      <c r="R56" s="312"/>
      <c r="S56" s="312"/>
    </row>
    <row r="57" spans="1:19" x14ac:dyDescent="0.3">
      <c r="B57" s="130"/>
      <c r="E57" s="311"/>
      <c r="G57" s="129"/>
      <c r="H57" s="129"/>
      <c r="I57" s="129"/>
      <c r="J57" s="129"/>
    </row>
    <row r="58" spans="1:19" x14ac:dyDescent="0.3">
      <c r="A58" s="130" t="s">
        <v>502</v>
      </c>
      <c r="B58" s="130"/>
      <c r="E58" s="311"/>
      <c r="G58" s="129"/>
      <c r="H58" s="129"/>
      <c r="I58" s="129"/>
      <c r="J58" s="129"/>
    </row>
    <row r="59" spans="1:19" x14ac:dyDescent="0.3">
      <c r="B59" s="117" t="s">
        <v>503</v>
      </c>
      <c r="C59" s="129" t="s">
        <v>17</v>
      </c>
      <c r="D59" s="129" t="s">
        <v>16</v>
      </c>
      <c r="E59" s="311"/>
      <c r="G59" s="311">
        <v>1271791.66666667</v>
      </c>
      <c r="H59" s="129"/>
      <c r="J59" s="129"/>
    </row>
    <row r="60" spans="1:19" x14ac:dyDescent="0.3">
      <c r="B60" s="117" t="s">
        <v>504</v>
      </c>
      <c r="C60" s="129" t="s">
        <v>17</v>
      </c>
      <c r="D60" s="129" t="s">
        <v>16</v>
      </c>
      <c r="E60" s="311"/>
      <c r="G60" s="129"/>
      <c r="H60" s="129"/>
      <c r="I60" s="311">
        <v>1011978.980425</v>
      </c>
      <c r="J60" s="129"/>
    </row>
    <row r="61" spans="1:19" x14ac:dyDescent="0.3">
      <c r="B61" s="117" t="s">
        <v>505</v>
      </c>
      <c r="C61" s="129" t="s">
        <v>17</v>
      </c>
      <c r="D61" s="129" t="s">
        <v>16</v>
      </c>
      <c r="E61" s="311"/>
      <c r="G61" s="129"/>
      <c r="H61" s="129"/>
      <c r="I61" s="129"/>
      <c r="J61" s="129"/>
      <c r="K61" s="311">
        <v>556645.17474166665</v>
      </c>
    </row>
    <row r="62" spans="1:19" x14ac:dyDescent="0.3">
      <c r="B62" s="117" t="s">
        <v>506</v>
      </c>
      <c r="C62" s="129" t="s">
        <v>17</v>
      </c>
      <c r="D62" s="129" t="s">
        <v>16</v>
      </c>
      <c r="E62" s="311"/>
      <c r="G62" s="129"/>
      <c r="H62" s="129"/>
      <c r="I62" s="129"/>
      <c r="J62" s="129"/>
      <c r="M62" s="311">
        <v>221666.65999999997</v>
      </c>
    </row>
    <row r="63" spans="1:19" x14ac:dyDescent="0.3">
      <c r="B63" s="117" t="s">
        <v>507</v>
      </c>
      <c r="C63" s="129" t="s">
        <v>17</v>
      </c>
      <c r="D63" s="129" t="s">
        <v>16</v>
      </c>
      <c r="E63" s="311"/>
      <c r="G63" s="129"/>
      <c r="H63" s="129"/>
      <c r="I63" s="129"/>
      <c r="J63" s="129"/>
      <c r="O63" s="311">
        <v>372991.19</v>
      </c>
    </row>
    <row r="64" spans="1:19" x14ac:dyDescent="0.3">
      <c r="B64" s="117" t="s">
        <v>508</v>
      </c>
      <c r="C64" s="129" t="s">
        <v>17</v>
      </c>
      <c r="D64" s="129" t="s">
        <v>16</v>
      </c>
      <c r="E64" s="311"/>
      <c r="G64" s="129"/>
      <c r="H64" s="129"/>
      <c r="I64" s="129"/>
      <c r="J64" s="129"/>
      <c r="Q64" s="311">
        <v>197612.45</v>
      </c>
    </row>
    <row r="65" spans="1:19" x14ac:dyDescent="0.3">
      <c r="B65" s="117" t="s">
        <v>509</v>
      </c>
      <c r="C65" s="129" t="s">
        <v>17</v>
      </c>
      <c r="D65" s="129" t="s">
        <v>16</v>
      </c>
      <c r="E65" s="311"/>
      <c r="G65" s="129"/>
      <c r="H65" s="129"/>
      <c r="I65" s="129"/>
      <c r="J65" s="129"/>
      <c r="R65" s="311">
        <v>159193.4</v>
      </c>
    </row>
    <row r="66" spans="1:19" x14ac:dyDescent="0.3">
      <c r="B66" s="117" t="s">
        <v>510</v>
      </c>
      <c r="C66" s="129" t="s">
        <v>17</v>
      </c>
      <c r="D66" s="129" t="s">
        <v>16</v>
      </c>
      <c r="E66" s="311"/>
      <c r="G66" s="129"/>
      <c r="H66" s="129"/>
      <c r="I66" s="129"/>
      <c r="J66" s="129"/>
      <c r="S66" s="311">
        <v>122273.1</v>
      </c>
    </row>
    <row r="67" spans="1:19" x14ac:dyDescent="0.3">
      <c r="B67" s="130"/>
      <c r="E67" s="311"/>
      <c r="G67" s="129"/>
      <c r="H67" s="129"/>
      <c r="I67" s="129"/>
      <c r="J67" s="129"/>
    </row>
    <row r="68" spans="1:19" x14ac:dyDescent="0.3">
      <c r="A68" s="130" t="s">
        <v>511</v>
      </c>
      <c r="B68" s="130"/>
      <c r="E68" s="311"/>
      <c r="G68" s="129"/>
      <c r="H68" s="129"/>
      <c r="I68" s="129"/>
      <c r="J68" s="129"/>
    </row>
    <row r="69" spans="1:19" x14ac:dyDescent="0.3">
      <c r="B69" s="281" t="s">
        <v>511</v>
      </c>
      <c r="C69" s="320"/>
      <c r="D69" s="320"/>
      <c r="E69" s="339"/>
      <c r="F69" s="320"/>
      <c r="G69" s="340">
        <f>+SUM(G59:G67)/SUM($G$27:G27)</f>
        <v>1.6957222222222266E-2</v>
      </c>
      <c r="H69" s="340">
        <f>+SUM(H59:H67)/SUM($G$27:H27)</f>
        <v>0</v>
      </c>
      <c r="I69" s="340">
        <f>+SUM(I59:I67)/SUM($G$27:I27)</f>
        <v>9.4577474806074764E-3</v>
      </c>
      <c r="J69" s="340">
        <f>+SUM(J59:J67)/SUM($G$27:J27)</f>
        <v>0</v>
      </c>
      <c r="K69" s="340">
        <f>+SUM(K59:K67)/SUM($G$27:K27)</f>
        <v>3.3332046391716568E-3</v>
      </c>
      <c r="L69" s="340">
        <f>+SUM(L59:L67)/SUM($G$27:L27)</f>
        <v>0</v>
      </c>
      <c r="M69" s="340">
        <f>+SUM(M59:M67)/SUM($G$27:M27)</f>
        <v>1.1252114720812182E-3</v>
      </c>
      <c r="N69" s="340">
        <f>+SUM(N59:N67)/SUM($G$27:N27)</f>
        <v>0</v>
      </c>
      <c r="O69" s="340">
        <f>+SUM(O59:O67)/SUM($G$27:O27)</f>
        <v>1.3969707490636704E-3</v>
      </c>
      <c r="P69" s="340">
        <f>+SUM(P59:P67)/SUM($G$27:P27)</f>
        <v>0</v>
      </c>
      <c r="Q69" s="340">
        <f>+SUM(Q59:Q67)/SUM($G$27:Q27)</f>
        <v>7.0450071301247778E-4</v>
      </c>
      <c r="R69" s="340">
        <f>+SUM(R59:R67)/SUM($G$27:R27)</f>
        <v>5.6753440285204986E-4</v>
      </c>
      <c r="S69" s="340">
        <f>+SUM(S59:S67)/SUM($G$27:S27)</f>
        <v>4.359112299465241E-4</v>
      </c>
    </row>
    <row r="70" spans="1:19" ht="14.5" thickBot="1" x14ac:dyDescent="0.35">
      <c r="B70" s="130"/>
      <c r="E70" s="311"/>
      <c r="G70" s="129"/>
      <c r="H70" s="129"/>
      <c r="I70" s="129"/>
      <c r="J70" s="129"/>
    </row>
    <row r="71" spans="1:19" x14ac:dyDescent="0.3">
      <c r="A71" s="323" t="s">
        <v>501</v>
      </c>
      <c r="B71" s="324"/>
      <c r="C71" s="325"/>
      <c r="D71" s="325"/>
      <c r="E71" s="326"/>
      <c r="F71" s="325"/>
      <c r="G71" s="327">
        <v>2013</v>
      </c>
      <c r="H71" s="327">
        <v>2014</v>
      </c>
      <c r="I71" s="327">
        <v>2015</v>
      </c>
      <c r="J71" s="327">
        <v>2016</v>
      </c>
      <c r="K71" s="324">
        <v>2017</v>
      </c>
      <c r="L71" s="324">
        <v>2018</v>
      </c>
      <c r="M71" s="328">
        <v>2019</v>
      </c>
    </row>
    <row r="72" spans="1:19" ht="3" customHeight="1" x14ac:dyDescent="0.3">
      <c r="A72" s="329"/>
      <c r="B72" s="130"/>
      <c r="E72" s="311"/>
      <c r="M72" s="330"/>
    </row>
    <row r="73" spans="1:19" x14ac:dyDescent="0.3">
      <c r="A73" s="329"/>
      <c r="B73" s="117" t="s">
        <v>500</v>
      </c>
      <c r="E73" s="311"/>
      <c r="G73" s="331" cm="1">
        <f t="array" ref="G73">+SUM((((G71)=YEAR($G$1:$S$1))*($G$69:$S$69)))</f>
        <v>1.6957222222222266E-2</v>
      </c>
      <c r="H73" s="331" cm="1">
        <f t="array" ref="H73">+SUM((((H71)=YEAR($G$1:$S$1))*($G$69:$S$69)))</f>
        <v>1.2790952119779132E-2</v>
      </c>
      <c r="I73" s="331" cm="1">
        <f t="array" ref="I73">+SUM((((I71)=YEAR($G$1:$S$1))*($G$69:$S$69)))</f>
        <v>2.5221822211448884E-3</v>
      </c>
      <c r="J73" s="331" cm="1">
        <f t="array" ref="J73">+SUM((((J71)=YEAR($G$1:$S$1))*($G$69:$S$69)))</f>
        <v>0</v>
      </c>
      <c r="K73" s="331" cm="1">
        <f t="array" ref="K73">+SUM((((K71)=YEAR($G$1:$S$1))*($G$69:$S$69)))</f>
        <v>0</v>
      </c>
      <c r="L73" s="331" cm="1">
        <f t="array" ref="L73">+SUM((((L71)=YEAR($G$1:$S$1))*($G$69:$S$69)))</f>
        <v>1.2720351158645275E-3</v>
      </c>
      <c r="M73" s="332" cm="1">
        <f t="array" ref="M73">+SUM((((M71)=YEAR($G$1:$S$1))*($G$69:$S$69)))</f>
        <v>4.359112299465241E-4</v>
      </c>
    </row>
    <row r="74" spans="1:19" ht="5.25" customHeight="1" thickBot="1" x14ac:dyDescent="0.35">
      <c r="A74" s="333"/>
      <c r="B74" s="334"/>
      <c r="C74" s="335"/>
      <c r="D74" s="335"/>
      <c r="E74" s="336"/>
      <c r="F74" s="335"/>
      <c r="G74" s="337"/>
      <c r="H74" s="337"/>
      <c r="I74" s="337"/>
      <c r="J74" s="337"/>
      <c r="K74" s="335"/>
      <c r="L74" s="335"/>
      <c r="M74" s="338"/>
    </row>
    <row r="76" spans="1:19" x14ac:dyDescent="0.3">
      <c r="A76" s="312" t="s">
        <v>512</v>
      </c>
      <c r="B76" s="312"/>
      <c r="C76" s="312"/>
      <c r="D76" s="312"/>
      <c r="E76" s="313"/>
      <c r="F76" s="312"/>
      <c r="G76" s="314"/>
      <c r="H76" s="314"/>
      <c r="I76" s="312"/>
      <c r="J76" s="314"/>
      <c r="K76" s="312"/>
      <c r="L76" s="314"/>
      <c r="M76" s="314"/>
      <c r="N76" s="312"/>
      <c r="O76" s="312"/>
      <c r="P76" s="312"/>
      <c r="Q76" s="312"/>
      <c r="R76" s="312"/>
      <c r="S76" s="312"/>
    </row>
    <row r="79" spans="1:19" x14ac:dyDescent="0.3">
      <c r="A79" s="284" t="s">
        <v>513</v>
      </c>
    </row>
    <row r="80" spans="1:19" x14ac:dyDescent="0.3">
      <c r="C80" s="130">
        <v>0</v>
      </c>
      <c r="D80" s="130">
        <f t="shared" ref="D80:P80" si="2">+C80+1</f>
        <v>1</v>
      </c>
      <c r="E80" s="130">
        <f t="shared" si="2"/>
        <v>2</v>
      </c>
      <c r="F80" s="130">
        <f t="shared" si="2"/>
        <v>3</v>
      </c>
      <c r="G80" s="130">
        <f t="shared" si="2"/>
        <v>4</v>
      </c>
      <c r="H80" s="130">
        <f t="shared" si="2"/>
        <v>5</v>
      </c>
      <c r="I80" s="130">
        <f t="shared" si="2"/>
        <v>6</v>
      </c>
      <c r="J80" s="130">
        <f t="shared" si="2"/>
        <v>7</v>
      </c>
      <c r="K80" s="130">
        <f t="shared" si="2"/>
        <v>8</v>
      </c>
      <c r="L80" s="130"/>
      <c r="M80" s="130">
        <f>+K80+1</f>
        <v>9</v>
      </c>
      <c r="N80" s="130">
        <f t="shared" si="2"/>
        <v>10</v>
      </c>
      <c r="O80" s="130">
        <f t="shared" si="2"/>
        <v>11</v>
      </c>
      <c r="P80" s="130">
        <f t="shared" si="2"/>
        <v>12</v>
      </c>
    </row>
    <row r="81" spans="1:17" x14ac:dyDescent="0.3">
      <c r="A81" s="280" t="s">
        <v>514</v>
      </c>
      <c r="C81" s="341">
        <f>+E4</f>
        <v>217000000</v>
      </c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>
        <f>-C81</f>
        <v>-217000000</v>
      </c>
    </row>
    <row r="82" spans="1:17" x14ac:dyDescent="0.3">
      <c r="A82" s="280" t="s">
        <v>513</v>
      </c>
      <c r="C82" s="343">
        <v>-5571750</v>
      </c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</row>
    <row r="83" spans="1:17" x14ac:dyDescent="0.3">
      <c r="A83" s="280" t="s">
        <v>0</v>
      </c>
      <c r="C83" s="344">
        <f>+SUM(C81:C82)</f>
        <v>211428250</v>
      </c>
      <c r="D83" s="345">
        <f t="shared" ref="D83:P83" si="3">+SUM(D81:D82)</f>
        <v>0</v>
      </c>
      <c r="E83" s="345">
        <f t="shared" si="3"/>
        <v>0</v>
      </c>
      <c r="F83" s="345">
        <f t="shared" si="3"/>
        <v>0</v>
      </c>
      <c r="G83" s="345">
        <f t="shared" si="3"/>
        <v>0</v>
      </c>
      <c r="H83" s="345">
        <f t="shared" si="3"/>
        <v>0</v>
      </c>
      <c r="I83" s="345">
        <f t="shared" si="3"/>
        <v>0</v>
      </c>
      <c r="J83" s="345">
        <f t="shared" si="3"/>
        <v>0</v>
      </c>
      <c r="K83" s="345">
        <f t="shared" si="3"/>
        <v>0</v>
      </c>
      <c r="L83" s="345"/>
      <c r="M83" s="345">
        <f t="shared" si="3"/>
        <v>0</v>
      </c>
      <c r="N83" s="345">
        <f t="shared" si="3"/>
        <v>0</v>
      </c>
      <c r="O83" s="345">
        <f t="shared" si="3"/>
        <v>0</v>
      </c>
      <c r="P83" s="345">
        <f t="shared" si="3"/>
        <v>-217000000</v>
      </c>
    </row>
    <row r="85" spans="1:17" x14ac:dyDescent="0.3">
      <c r="B85" s="346" t="s">
        <v>515</v>
      </c>
      <c r="C85" s="340">
        <f>+IRR(C83:P83,0)</f>
        <v>2.1699890347728346E-3</v>
      </c>
    </row>
    <row r="87" spans="1:17" x14ac:dyDescent="0.3">
      <c r="C87" s="130">
        <v>0</v>
      </c>
      <c r="D87" s="130">
        <f t="shared" ref="D87:N87" si="4">+C87+1</f>
        <v>1</v>
      </c>
      <c r="E87" s="130">
        <f t="shared" si="4"/>
        <v>2</v>
      </c>
      <c r="F87" s="130">
        <f t="shared" si="4"/>
        <v>3</v>
      </c>
      <c r="G87" s="130">
        <f t="shared" si="4"/>
        <v>4</v>
      </c>
      <c r="H87" s="130">
        <f t="shared" si="4"/>
        <v>5</v>
      </c>
      <c r="I87" s="130">
        <f t="shared" si="4"/>
        <v>6</v>
      </c>
      <c r="J87" s="130">
        <f t="shared" si="4"/>
        <v>7</v>
      </c>
      <c r="K87" s="130">
        <f t="shared" si="4"/>
        <v>8</v>
      </c>
      <c r="L87" s="130"/>
      <c r="M87" s="130">
        <f>+K87+1</f>
        <v>9</v>
      </c>
      <c r="N87" s="130">
        <f t="shared" si="4"/>
        <v>10</v>
      </c>
      <c r="O87" s="130"/>
      <c r="P87" s="130"/>
    </row>
    <row r="88" spans="1:17" x14ac:dyDescent="0.3">
      <c r="A88" s="280" t="s">
        <v>514</v>
      </c>
      <c r="C88" s="341">
        <f>+E5</f>
        <v>50000000</v>
      </c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>
        <f>-C88</f>
        <v>-50000000</v>
      </c>
      <c r="O88" s="342"/>
      <c r="P88" s="342"/>
    </row>
    <row r="89" spans="1:17" x14ac:dyDescent="0.3">
      <c r="A89" s="280" t="s">
        <v>513</v>
      </c>
      <c r="C89" s="311">
        <v>-1034597</v>
      </c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</row>
    <row r="90" spans="1:17" x14ac:dyDescent="0.3">
      <c r="A90" s="280" t="s">
        <v>0</v>
      </c>
      <c r="C90" s="345">
        <f>+SUM(C88:C89)</f>
        <v>48965403</v>
      </c>
      <c r="D90" s="345">
        <f t="shared" ref="D90:N90" si="5">+SUM(D88:D89)</f>
        <v>0</v>
      </c>
      <c r="E90" s="345">
        <f t="shared" si="5"/>
        <v>0</v>
      </c>
      <c r="F90" s="345">
        <f t="shared" si="5"/>
        <v>0</v>
      </c>
      <c r="G90" s="345">
        <f t="shared" si="5"/>
        <v>0</v>
      </c>
      <c r="H90" s="345">
        <f t="shared" si="5"/>
        <v>0</v>
      </c>
      <c r="I90" s="345">
        <f t="shared" si="5"/>
        <v>0</v>
      </c>
      <c r="J90" s="345">
        <f t="shared" si="5"/>
        <v>0</v>
      </c>
      <c r="K90" s="345">
        <f t="shared" si="5"/>
        <v>0</v>
      </c>
      <c r="L90" s="345"/>
      <c r="M90" s="345">
        <f t="shared" si="5"/>
        <v>0</v>
      </c>
      <c r="N90" s="345">
        <f t="shared" si="5"/>
        <v>-50000000</v>
      </c>
      <c r="O90" s="342"/>
      <c r="P90" s="342"/>
    </row>
    <row r="92" spans="1:17" x14ac:dyDescent="0.3">
      <c r="B92" s="346" t="s">
        <v>515</v>
      </c>
      <c r="C92" s="340">
        <f>+IRR(C90:P90,0)</f>
        <v>2.0930892515365063E-3</v>
      </c>
    </row>
    <row r="94" spans="1:17" x14ac:dyDescent="0.3">
      <c r="C94" s="130">
        <v>0</v>
      </c>
      <c r="D94" s="130">
        <f t="shared" ref="D94:J94" si="6">+C94+1</f>
        <v>1</v>
      </c>
      <c r="E94" s="130">
        <f t="shared" si="6"/>
        <v>2</v>
      </c>
      <c r="F94" s="130">
        <f t="shared" si="6"/>
        <v>3</v>
      </c>
      <c r="G94" s="130">
        <f t="shared" si="6"/>
        <v>4</v>
      </c>
      <c r="H94" s="130">
        <f t="shared" si="6"/>
        <v>5</v>
      </c>
      <c r="I94" s="130">
        <f t="shared" si="6"/>
        <v>6</v>
      </c>
      <c r="J94" s="130">
        <f t="shared" si="6"/>
        <v>7</v>
      </c>
      <c r="K94" s="130"/>
      <c r="L94" s="130"/>
      <c r="M94" s="130"/>
      <c r="N94" s="130"/>
      <c r="O94" s="130"/>
      <c r="P94" s="130"/>
    </row>
    <row r="95" spans="1:17" x14ac:dyDescent="0.3">
      <c r="A95" s="280" t="s">
        <v>514</v>
      </c>
      <c r="C95" s="341">
        <f>+E6</f>
        <v>13500000</v>
      </c>
      <c r="D95" s="342"/>
      <c r="E95" s="342"/>
      <c r="F95" s="342"/>
      <c r="G95" s="342"/>
      <c r="H95" s="342"/>
      <c r="I95" s="342"/>
      <c r="J95" s="342">
        <f>+-C95</f>
        <v>-13500000</v>
      </c>
      <c r="K95" s="342"/>
      <c r="L95" s="342"/>
      <c r="M95" s="342"/>
      <c r="N95" s="342"/>
      <c r="O95" s="342"/>
      <c r="P95" s="342"/>
    </row>
    <row r="96" spans="1:17" x14ac:dyDescent="0.3">
      <c r="A96" s="280" t="s">
        <v>513</v>
      </c>
      <c r="C96" s="311">
        <v>-682293</v>
      </c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</row>
    <row r="97" spans="1:19" x14ac:dyDescent="0.3">
      <c r="A97" s="280" t="s">
        <v>0</v>
      </c>
      <c r="C97" s="345">
        <f>+SUM(C95:C96)</f>
        <v>12817707</v>
      </c>
      <c r="D97" s="345">
        <f t="shared" ref="D97:J97" si="7">+SUM(D95:D96)</f>
        <v>0</v>
      </c>
      <c r="E97" s="345">
        <f t="shared" si="7"/>
        <v>0</v>
      </c>
      <c r="F97" s="345">
        <f t="shared" si="7"/>
        <v>0</v>
      </c>
      <c r="G97" s="345">
        <f t="shared" si="7"/>
        <v>0</v>
      </c>
      <c r="H97" s="345">
        <f t="shared" si="7"/>
        <v>0</v>
      </c>
      <c r="I97" s="345">
        <f t="shared" si="7"/>
        <v>0</v>
      </c>
      <c r="J97" s="345">
        <f t="shared" si="7"/>
        <v>-13500000</v>
      </c>
      <c r="K97" s="342"/>
      <c r="L97" s="342"/>
      <c r="M97" s="342"/>
      <c r="N97" s="342"/>
      <c r="O97" s="342"/>
      <c r="P97" s="342"/>
      <c r="Q97" s="342"/>
    </row>
    <row r="99" spans="1:19" ht="15" customHeight="1" x14ac:dyDescent="0.3">
      <c r="B99" s="346" t="s">
        <v>515</v>
      </c>
      <c r="C99" s="340">
        <f>+IRR(C97:J97,0)</f>
        <v>7.436386620812252E-3</v>
      </c>
      <c r="J99" s="129"/>
      <c r="K99" s="129"/>
    </row>
    <row r="100" spans="1:19" x14ac:dyDescent="0.3">
      <c r="J100" s="129"/>
      <c r="K100" s="129"/>
    </row>
    <row r="101" spans="1:19" ht="15" customHeight="1" x14ac:dyDescent="0.3">
      <c r="B101" s="347" t="s">
        <v>516</v>
      </c>
      <c r="C101" s="347" t="s">
        <v>517</v>
      </c>
      <c r="D101" s="347" t="s">
        <v>518</v>
      </c>
      <c r="E101" s="347" t="s">
        <v>519</v>
      </c>
      <c r="F101" s="347" t="s">
        <v>520</v>
      </c>
      <c r="J101" s="129"/>
    </row>
    <row r="102" spans="1:19" ht="15" customHeight="1" x14ac:dyDescent="0.3">
      <c r="B102" s="320" t="s">
        <v>521</v>
      </c>
      <c r="C102" s="348">
        <f>+C85</f>
        <v>2.1699890347728346E-3</v>
      </c>
      <c r="D102" s="349">
        <f>-P83</f>
        <v>217000000</v>
      </c>
      <c r="E102" s="320">
        <v>2013</v>
      </c>
      <c r="F102" s="348">
        <f>+C102</f>
        <v>2.1699890347728346E-3</v>
      </c>
      <c r="J102" s="129"/>
    </row>
    <row r="103" spans="1:19" x14ac:dyDescent="0.3">
      <c r="B103" s="320" t="s">
        <v>522</v>
      </c>
      <c r="C103" s="348">
        <f>+C92</f>
        <v>2.0930892515365063E-3</v>
      </c>
      <c r="D103" s="349">
        <f>-N90</f>
        <v>50000000</v>
      </c>
      <c r="E103" s="320">
        <v>2015</v>
      </c>
      <c r="F103" s="350">
        <f>+SUMPRODUCT(C102:C103,D102:D103)/SUM(D102:D103)</f>
        <v>2.155588326301612E-3</v>
      </c>
      <c r="J103" s="129"/>
    </row>
    <row r="104" spans="1:19" x14ac:dyDescent="0.3">
      <c r="B104" s="320" t="s">
        <v>523</v>
      </c>
      <c r="C104" s="348">
        <f>+C99</f>
        <v>7.436386620812252E-3</v>
      </c>
      <c r="D104" s="349">
        <f>-J97</f>
        <v>13500000</v>
      </c>
      <c r="E104" s="320">
        <v>2017</v>
      </c>
      <c r="F104" s="350">
        <f>+SUMPRODUCT(C102:C104,D102:D104)/SUM(D102:D104)</f>
        <v>2.4097443939518565E-3</v>
      </c>
      <c r="J104" s="129"/>
      <c r="K104" s="351"/>
      <c r="L104" s="352"/>
      <c r="M104" s="352"/>
      <c r="N104" s="352"/>
      <c r="O104" s="352"/>
      <c r="P104" s="352"/>
      <c r="Q104" s="352"/>
      <c r="R104" s="352"/>
    </row>
    <row r="105" spans="1:19" ht="14.5" thickBot="1" x14ac:dyDescent="0.35">
      <c r="J105" s="129"/>
      <c r="K105" s="351"/>
      <c r="L105" s="352"/>
      <c r="M105" s="352"/>
      <c r="N105" s="352"/>
      <c r="O105" s="352"/>
      <c r="P105" s="352"/>
      <c r="Q105" s="352"/>
      <c r="R105" s="352"/>
    </row>
    <row r="106" spans="1:19" x14ac:dyDescent="0.3">
      <c r="A106" s="323" t="s">
        <v>501</v>
      </c>
      <c r="B106" s="324"/>
      <c r="C106" s="325"/>
      <c r="D106" s="325"/>
      <c r="E106" s="326"/>
      <c r="F106" s="325"/>
      <c r="G106" s="327">
        <v>2013</v>
      </c>
      <c r="H106" s="327">
        <v>2014</v>
      </c>
      <c r="I106" s="327">
        <v>2015</v>
      </c>
      <c r="J106" s="327">
        <v>2016</v>
      </c>
      <c r="K106" s="324">
        <v>2017</v>
      </c>
      <c r="L106" s="324">
        <v>2018</v>
      </c>
      <c r="M106" s="328">
        <v>2019</v>
      </c>
    </row>
    <row r="107" spans="1:19" ht="6.75" customHeight="1" x14ac:dyDescent="0.3">
      <c r="A107" s="329"/>
      <c r="B107" s="130"/>
      <c r="E107" s="311"/>
      <c r="M107" s="330"/>
    </row>
    <row r="108" spans="1:19" x14ac:dyDescent="0.3">
      <c r="A108" s="329"/>
      <c r="B108" s="117" t="s">
        <v>500</v>
      </c>
      <c r="E108" s="311"/>
      <c r="G108" s="331">
        <f>+IF(G106&lt;$E$103,$F$102,IF(G106&lt;$E$104,$F$103,$F$104))</f>
        <v>2.1699890347728346E-3</v>
      </c>
      <c r="H108" s="331">
        <f t="shared" ref="H108:M108" si="8">+IF(H106&lt;$E$103,$F$102,IF(H106&lt;$E$104,$F$103,$F$104))</f>
        <v>2.1699890347728346E-3</v>
      </c>
      <c r="I108" s="331">
        <f t="shared" si="8"/>
        <v>2.155588326301612E-3</v>
      </c>
      <c r="J108" s="331">
        <f t="shared" si="8"/>
        <v>2.155588326301612E-3</v>
      </c>
      <c r="K108" s="331">
        <f t="shared" si="8"/>
        <v>2.4097443939518565E-3</v>
      </c>
      <c r="L108" s="331">
        <f t="shared" si="8"/>
        <v>2.4097443939518565E-3</v>
      </c>
      <c r="M108" s="332">
        <f t="shared" si="8"/>
        <v>2.4097443939518565E-3</v>
      </c>
    </row>
    <row r="109" spans="1:19" ht="5.25" customHeight="1" thickBot="1" x14ac:dyDescent="0.35">
      <c r="A109" s="333"/>
      <c r="B109" s="334"/>
      <c r="C109" s="335"/>
      <c r="D109" s="335"/>
      <c r="E109" s="336"/>
      <c r="F109" s="335"/>
      <c r="G109" s="337"/>
      <c r="H109" s="337"/>
      <c r="I109" s="337"/>
      <c r="J109" s="337"/>
      <c r="K109" s="335"/>
      <c r="L109" s="335"/>
      <c r="M109" s="338"/>
    </row>
    <row r="111" spans="1:19" x14ac:dyDescent="0.3">
      <c r="A111" s="312" t="s">
        <v>524</v>
      </c>
      <c r="B111" s="312"/>
      <c r="C111" s="312"/>
      <c r="D111" s="312"/>
      <c r="E111" s="313"/>
      <c r="F111" s="312"/>
      <c r="G111" s="314"/>
      <c r="H111" s="314"/>
      <c r="I111" s="312"/>
      <c r="J111" s="314"/>
      <c r="K111" s="312"/>
      <c r="L111" s="314"/>
      <c r="M111" s="314"/>
      <c r="N111" s="312"/>
      <c r="O111" s="312"/>
      <c r="P111" s="312"/>
      <c r="Q111" s="312"/>
      <c r="R111" s="312"/>
      <c r="S111" s="312"/>
    </row>
    <row r="112" spans="1:19" ht="14.5" thickBot="1" x14ac:dyDescent="0.35"/>
    <row r="113" spans="1:13" x14ac:dyDescent="0.3">
      <c r="A113" s="323" t="s">
        <v>588</v>
      </c>
      <c r="B113" s="324"/>
      <c r="C113" s="325"/>
      <c r="D113" s="325"/>
      <c r="E113" s="327">
        <v>2011</v>
      </c>
      <c r="F113" s="327">
        <v>2012</v>
      </c>
      <c r="G113" s="327">
        <v>2013</v>
      </c>
      <c r="H113" s="327">
        <v>2014</v>
      </c>
      <c r="I113" s="327">
        <v>2015</v>
      </c>
      <c r="J113" s="327">
        <v>2016</v>
      </c>
      <c r="K113" s="324">
        <v>2017</v>
      </c>
      <c r="L113" s="324">
        <v>2018</v>
      </c>
      <c r="M113" s="328">
        <v>2019</v>
      </c>
    </row>
    <row r="114" spans="1:13" x14ac:dyDescent="0.3">
      <c r="A114" s="353"/>
      <c r="B114" s="320" t="s">
        <v>525</v>
      </c>
      <c r="C114" s="320"/>
      <c r="D114" s="320"/>
      <c r="E114" s="320"/>
      <c r="F114" s="320"/>
      <c r="G114" s="354">
        <f>+G53</f>
        <v>5.6933434579439252E-2</v>
      </c>
      <c r="H114" s="354">
        <f t="shared" ref="H114:M114" si="9">+H53</f>
        <v>5.4511878172588832E-2</v>
      </c>
      <c r="I114" s="354">
        <f t="shared" si="9"/>
        <v>5.5869157303370789E-2</v>
      </c>
      <c r="J114" s="354">
        <f t="shared" si="9"/>
        <v>5.5869157303370789E-2</v>
      </c>
      <c r="K114" s="354">
        <f t="shared" si="9"/>
        <v>5.5869157303370789E-2</v>
      </c>
      <c r="L114" s="354">
        <f t="shared" si="9"/>
        <v>5.6563557486631014E-2</v>
      </c>
      <c r="M114" s="355">
        <f t="shared" si="9"/>
        <v>5.6563557486631014E-2</v>
      </c>
    </row>
    <row r="115" spans="1:13" x14ac:dyDescent="0.3">
      <c r="A115" s="353"/>
      <c r="B115" s="320" t="s">
        <v>526</v>
      </c>
      <c r="C115" s="320"/>
      <c r="D115" s="320"/>
      <c r="E115" s="320"/>
      <c r="F115" s="320"/>
      <c r="G115" s="354">
        <f>+G73</f>
        <v>1.6957222222222266E-2</v>
      </c>
      <c r="H115" s="354">
        <f t="shared" ref="H115:M115" si="10">+H73</f>
        <v>1.2790952119779132E-2</v>
      </c>
      <c r="I115" s="354">
        <f>+I73</f>
        <v>2.5221822211448884E-3</v>
      </c>
      <c r="J115" s="354">
        <f t="shared" si="10"/>
        <v>0</v>
      </c>
      <c r="K115" s="354">
        <f t="shared" si="10"/>
        <v>0</v>
      </c>
      <c r="L115" s="354">
        <f t="shared" si="10"/>
        <v>1.2720351158645275E-3</v>
      </c>
      <c r="M115" s="355">
        <f t="shared" si="10"/>
        <v>4.359112299465241E-4</v>
      </c>
    </row>
    <row r="116" spans="1:13" x14ac:dyDescent="0.3">
      <c r="A116" s="353"/>
      <c r="B116" s="320" t="s">
        <v>527</v>
      </c>
      <c r="C116" s="320"/>
      <c r="D116" s="320"/>
      <c r="E116" s="320"/>
      <c r="F116" s="320"/>
      <c r="G116" s="354">
        <f>+G108</f>
        <v>2.1699890347728346E-3</v>
      </c>
      <c r="H116" s="354">
        <f t="shared" ref="H116:M116" si="11">+H108</f>
        <v>2.1699890347728346E-3</v>
      </c>
      <c r="I116" s="354">
        <f t="shared" si="11"/>
        <v>2.155588326301612E-3</v>
      </c>
      <c r="J116" s="354">
        <f t="shared" si="11"/>
        <v>2.155588326301612E-3</v>
      </c>
      <c r="K116" s="354">
        <f t="shared" si="11"/>
        <v>2.4097443939518565E-3</v>
      </c>
      <c r="L116" s="354">
        <f t="shared" si="11"/>
        <v>2.4097443939518565E-3</v>
      </c>
      <c r="M116" s="355">
        <f t="shared" si="11"/>
        <v>2.4097443939518565E-3</v>
      </c>
    </row>
    <row r="117" spans="1:13" x14ac:dyDescent="0.3">
      <c r="A117" s="353"/>
      <c r="B117" s="320" t="s">
        <v>528</v>
      </c>
      <c r="C117" s="320" t="s">
        <v>529</v>
      </c>
      <c r="D117" s="320"/>
      <c r="E117" s="361">
        <v>5.2900000000000003E-2</v>
      </c>
      <c r="F117" s="361">
        <v>3.8699999999999998E-2</v>
      </c>
      <c r="G117" s="354">
        <v>0</v>
      </c>
      <c r="H117" s="354">
        <v>0</v>
      </c>
      <c r="I117" s="354">
        <v>0</v>
      </c>
      <c r="J117" s="354">
        <v>0</v>
      </c>
      <c r="K117" s="354">
        <v>0</v>
      </c>
      <c r="L117" s="354">
        <v>0</v>
      </c>
      <c r="M117" s="355">
        <v>0</v>
      </c>
    </row>
    <row r="118" spans="1:13" x14ac:dyDescent="0.3">
      <c r="A118" s="353"/>
      <c r="B118" s="320" t="s">
        <v>530</v>
      </c>
      <c r="C118" s="320" t="s">
        <v>78</v>
      </c>
      <c r="D118" s="320"/>
      <c r="E118" s="361">
        <v>1.9127307692307693E-2</v>
      </c>
      <c r="F118" s="361">
        <v>1.5701149425287358E-2</v>
      </c>
      <c r="G118" s="354">
        <v>0</v>
      </c>
      <c r="H118" s="354">
        <v>0</v>
      </c>
      <c r="I118" s="354">
        <v>0</v>
      </c>
      <c r="J118" s="354">
        <v>0</v>
      </c>
      <c r="K118" s="354">
        <v>0</v>
      </c>
      <c r="L118" s="354">
        <v>0</v>
      </c>
      <c r="M118" s="355">
        <v>0</v>
      </c>
    </row>
    <row r="119" spans="1:13" ht="14.5" thickBot="1" x14ac:dyDescent="0.35">
      <c r="A119" s="356"/>
      <c r="B119" s="357" t="s">
        <v>524</v>
      </c>
      <c r="C119" s="357"/>
      <c r="D119" s="357"/>
      <c r="E119" s="358">
        <f>+E117+E118</f>
        <v>7.2027307692307696E-2</v>
      </c>
      <c r="F119" s="358">
        <f>+F117+F118</f>
        <v>5.4401149425287357E-2</v>
      </c>
      <c r="G119" s="359">
        <f>+SUM(G114:G116)</f>
        <v>7.6060645836434349E-2</v>
      </c>
      <c r="H119" s="359">
        <f t="shared" ref="H119:M119" si="12">+SUM(H114:H116)</f>
        <v>6.9472819327140806E-2</v>
      </c>
      <c r="I119" s="359">
        <f t="shared" si="12"/>
        <v>6.0546927850817292E-2</v>
      </c>
      <c r="J119" s="359">
        <f t="shared" si="12"/>
        <v>5.80247456296724E-2</v>
      </c>
      <c r="K119" s="359">
        <f t="shared" si="12"/>
        <v>5.8278901697322645E-2</v>
      </c>
      <c r="L119" s="359">
        <f t="shared" si="12"/>
        <v>6.02453369964474E-2</v>
      </c>
      <c r="M119" s="360">
        <f t="shared" si="12"/>
        <v>5.9409213110529394E-2</v>
      </c>
    </row>
    <row r="129" spans="2:2" x14ac:dyDescent="0.3">
      <c r="B129" s="2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FAC2-C304-4A44-B48D-DB28760AC462}">
  <dimension ref="B1:Y34"/>
  <sheetViews>
    <sheetView showGridLines="0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M32" sqref="M32"/>
    </sheetView>
  </sheetViews>
  <sheetFormatPr defaultColWidth="11.33203125" defaultRowHeight="14" x14ac:dyDescent="0.3"/>
  <cols>
    <col min="1" max="1" width="3.5" style="117" customWidth="1"/>
    <col min="2" max="2" width="2.25" style="117" customWidth="1"/>
    <col min="3" max="3" width="37.5" style="117" customWidth="1"/>
    <col min="4" max="4" width="10.75" style="129" customWidth="1"/>
    <col min="5" max="5" width="14.83203125" style="129" customWidth="1"/>
    <col min="6" max="6" width="14.58203125" style="117" customWidth="1"/>
    <col min="7" max="7" width="5.5" style="123" customWidth="1"/>
    <col min="8" max="8" width="12.25" style="117" customWidth="1"/>
    <col min="9" max="11" width="11.33203125" style="117" customWidth="1"/>
    <col min="12" max="16384" width="11.33203125" style="117"/>
  </cols>
  <sheetData>
    <row r="1" spans="2:25" x14ac:dyDescent="0.3">
      <c r="D1" s="122" t="s">
        <v>2</v>
      </c>
      <c r="E1" s="122" t="s">
        <v>1</v>
      </c>
      <c r="F1" s="122" t="s">
        <v>0</v>
      </c>
      <c r="H1" s="122">
        <v>2011</v>
      </c>
      <c r="I1" s="122">
        <v>2012</v>
      </c>
      <c r="J1" s="122">
        <v>2013</v>
      </c>
      <c r="K1" s="122">
        <v>2014</v>
      </c>
      <c r="L1" s="122">
        <v>2015</v>
      </c>
      <c r="M1" s="122">
        <v>2016</v>
      </c>
      <c r="N1" s="122">
        <v>2017</v>
      </c>
      <c r="O1" s="122">
        <v>2018</v>
      </c>
      <c r="P1" s="122">
        <v>2019</v>
      </c>
    </row>
    <row r="2" spans="2:25" x14ac:dyDescent="0.3">
      <c r="B2" s="124"/>
      <c r="C2" s="124"/>
      <c r="D2" s="125"/>
      <c r="E2" s="125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2:25" x14ac:dyDescent="0.3">
      <c r="B4" s="126" t="s">
        <v>42</v>
      </c>
      <c r="C4" s="126"/>
      <c r="D4" s="127"/>
      <c r="E4" s="127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6" spans="2:25" x14ac:dyDescent="0.3">
      <c r="B6" s="130" t="s">
        <v>42</v>
      </c>
      <c r="R6" s="226"/>
      <c r="S6" s="226"/>
      <c r="T6" s="226"/>
      <c r="U6" s="226"/>
      <c r="V6" s="226"/>
      <c r="W6" s="226"/>
      <c r="X6" s="226"/>
      <c r="Y6" s="226"/>
    </row>
    <row r="7" spans="2:25" x14ac:dyDescent="0.3">
      <c r="C7" s="117" t="s">
        <v>35</v>
      </c>
      <c r="D7" s="129" t="s">
        <v>16</v>
      </c>
      <c r="E7" s="129" t="s">
        <v>56</v>
      </c>
      <c r="F7" s="132">
        <f>+SUM(H7:P7)</f>
        <v>88020.02205</v>
      </c>
      <c r="H7" s="420">
        <v>4677.9809599999999</v>
      </c>
      <c r="I7" s="420">
        <v>7590.8764799999999</v>
      </c>
      <c r="J7" s="420">
        <v>8218.1892800000005</v>
      </c>
      <c r="K7" s="420">
        <v>10235.409600000001</v>
      </c>
      <c r="L7" s="420">
        <v>10383.568350000001</v>
      </c>
      <c r="M7" s="420">
        <v>10476.078940000001</v>
      </c>
      <c r="N7" s="420">
        <v>11732.147649999999</v>
      </c>
      <c r="O7" s="420">
        <v>12527.001319999999</v>
      </c>
      <c r="P7" s="420">
        <v>12178.769469999999</v>
      </c>
      <c r="R7" s="226"/>
      <c r="S7" s="226"/>
      <c r="T7" s="226"/>
      <c r="U7" s="226"/>
      <c r="V7" s="226"/>
      <c r="W7" s="226"/>
      <c r="X7" s="226"/>
      <c r="Y7" s="226"/>
    </row>
    <row r="8" spans="2:25" x14ac:dyDescent="0.3">
      <c r="C8" s="117" t="s">
        <v>60</v>
      </c>
      <c r="D8" s="129" t="s">
        <v>16</v>
      </c>
      <c r="E8" s="129" t="s">
        <v>56</v>
      </c>
      <c r="F8" s="132">
        <f>+SUM(H8:P8)</f>
        <v>142911.44051000001</v>
      </c>
      <c r="H8" s="420">
        <v>11156.8068</v>
      </c>
      <c r="I8" s="420">
        <v>13631.092069999999</v>
      </c>
      <c r="J8" s="420">
        <v>14363.205510000002</v>
      </c>
      <c r="K8" s="420">
        <v>15554.721199999998</v>
      </c>
      <c r="L8" s="420">
        <v>15771.073079999998</v>
      </c>
      <c r="M8" s="420">
        <v>16692.779409999999</v>
      </c>
      <c r="N8" s="420">
        <v>17489.238659999995</v>
      </c>
      <c r="O8" s="420">
        <v>18473.500270000004</v>
      </c>
      <c r="P8" s="420">
        <v>19779.023510000003</v>
      </c>
      <c r="R8" s="226"/>
      <c r="S8" s="226"/>
      <c r="T8" s="226"/>
      <c r="U8" s="226"/>
      <c r="V8" s="226"/>
      <c r="W8" s="226"/>
      <c r="X8" s="226"/>
      <c r="Y8" s="226"/>
    </row>
    <row r="9" spans="2:25" x14ac:dyDescent="0.3">
      <c r="C9" s="133" t="s">
        <v>38</v>
      </c>
      <c r="D9" s="134" t="s">
        <v>16</v>
      </c>
      <c r="E9" s="134" t="s">
        <v>56</v>
      </c>
      <c r="F9" s="135">
        <f>+SUM(H9:P9)</f>
        <v>107037.93345000001</v>
      </c>
      <c r="H9" s="420">
        <v>16518.16994</v>
      </c>
      <c r="I9" s="420">
        <v>14187.78753</v>
      </c>
      <c r="J9" s="420">
        <v>13008.393579999998</v>
      </c>
      <c r="K9" s="420">
        <v>11005.250800000002</v>
      </c>
      <c r="L9" s="420">
        <v>10499.43957</v>
      </c>
      <c r="M9" s="420">
        <v>9570.0773699999991</v>
      </c>
      <c r="N9" s="420">
        <v>10171.03897</v>
      </c>
      <c r="O9" s="420">
        <v>11063.17978</v>
      </c>
      <c r="P9" s="420">
        <v>11014.595909999998</v>
      </c>
    </row>
    <row r="10" spans="2:25" x14ac:dyDescent="0.3">
      <c r="C10" s="130" t="s">
        <v>0</v>
      </c>
      <c r="D10" s="122" t="s">
        <v>16</v>
      </c>
      <c r="E10" s="122" t="s">
        <v>56</v>
      </c>
      <c r="F10" s="136">
        <f>+SUM(H10:P10)</f>
        <v>337969.39600999997</v>
      </c>
      <c r="G10" s="131"/>
      <c r="H10" s="160">
        <f>+SUM(H7:H9)</f>
        <v>32352.957699999999</v>
      </c>
      <c r="I10" s="160">
        <f t="shared" ref="I10:P10" si="0">+SUM(I7:I9)</f>
        <v>35409.756079999999</v>
      </c>
      <c r="J10" s="160">
        <f t="shared" si="0"/>
        <v>35589.788370000002</v>
      </c>
      <c r="K10" s="160">
        <f t="shared" si="0"/>
        <v>36795.381600000001</v>
      </c>
      <c r="L10" s="160">
        <f t="shared" si="0"/>
        <v>36654.080999999998</v>
      </c>
      <c r="M10" s="160">
        <f t="shared" si="0"/>
        <v>36738.935720000001</v>
      </c>
      <c r="N10" s="160">
        <f t="shared" si="0"/>
        <v>39392.425279999996</v>
      </c>
      <c r="O10" s="160">
        <f t="shared" si="0"/>
        <v>42063.681370000006</v>
      </c>
      <c r="P10" s="160">
        <f t="shared" si="0"/>
        <v>42972.388890000002</v>
      </c>
    </row>
    <row r="13" spans="2:25" x14ac:dyDescent="0.3">
      <c r="B13" s="126" t="s">
        <v>34</v>
      </c>
      <c r="C13" s="126"/>
      <c r="D13" s="127"/>
      <c r="E13" s="127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2:25" x14ac:dyDescent="0.3">
      <c r="H14" s="138"/>
      <c r="I14" s="138"/>
      <c r="J14" s="138"/>
      <c r="K14" s="138"/>
      <c r="L14" s="138"/>
      <c r="M14" s="138"/>
      <c r="N14" s="138"/>
      <c r="O14" s="138"/>
      <c r="P14" s="138"/>
    </row>
    <row r="15" spans="2:25" x14ac:dyDescent="0.3">
      <c r="H15" s="138"/>
      <c r="I15" s="138"/>
      <c r="J15" s="138"/>
      <c r="K15" s="138"/>
      <c r="L15" s="138"/>
      <c r="M15" s="138"/>
      <c r="N15" s="138"/>
      <c r="O15" s="138"/>
      <c r="P15" s="138"/>
    </row>
    <row r="16" spans="2:25" x14ac:dyDescent="0.3">
      <c r="C16" s="117" t="s">
        <v>35</v>
      </c>
      <c r="D16" s="129" t="s">
        <v>16</v>
      </c>
      <c r="E16" s="129" t="s">
        <v>36</v>
      </c>
      <c r="F16" s="132">
        <f>+SUM(H16:P16)</f>
        <v>3012.0479999999998</v>
      </c>
      <c r="H16" s="421">
        <v>171.072</v>
      </c>
      <c r="I16" s="421">
        <v>286.17599999999999</v>
      </c>
      <c r="J16" s="421">
        <v>382.416</v>
      </c>
      <c r="K16" s="421">
        <v>269.37599999999998</v>
      </c>
      <c r="L16" s="421">
        <v>315.83999999999997</v>
      </c>
      <c r="M16" s="421">
        <v>370.14</v>
      </c>
      <c r="N16" s="421">
        <v>394.81200000000001</v>
      </c>
      <c r="O16" s="421">
        <v>417.15600000000001</v>
      </c>
      <c r="P16" s="421">
        <v>405.06</v>
      </c>
    </row>
    <row r="17" spans="2:16" x14ac:dyDescent="0.3">
      <c r="C17" s="117" t="s">
        <v>37</v>
      </c>
      <c r="D17" s="129" t="s">
        <v>16</v>
      </c>
      <c r="E17" s="129" t="s">
        <v>36</v>
      </c>
      <c r="F17" s="132">
        <f>+SUM(H17:P17)</f>
        <v>11903.58</v>
      </c>
      <c r="H17" s="421">
        <v>873.72</v>
      </c>
      <c r="I17" s="421">
        <v>1033.3800000000001</v>
      </c>
      <c r="J17" s="421">
        <v>1058.58</v>
      </c>
      <c r="K17" s="421">
        <v>1260.72</v>
      </c>
      <c r="L17" s="421">
        <v>1336.5</v>
      </c>
      <c r="M17" s="421">
        <v>1544.04</v>
      </c>
      <c r="N17" s="421">
        <v>1576.8</v>
      </c>
      <c r="O17" s="421">
        <v>1600.74</v>
      </c>
      <c r="P17" s="421">
        <v>1619.1</v>
      </c>
    </row>
    <row r="18" spans="2:16" x14ac:dyDescent="0.3">
      <c r="B18" s="133"/>
      <c r="C18" s="133" t="s">
        <v>38</v>
      </c>
      <c r="D18" s="134" t="s">
        <v>16</v>
      </c>
      <c r="E18" s="134" t="s">
        <v>36</v>
      </c>
      <c r="F18" s="135">
        <f>+SUM(H18:P18)</f>
        <v>10020.288382707953</v>
      </c>
      <c r="H18" s="421">
        <v>1285.1763827079542</v>
      </c>
      <c r="I18" s="421">
        <v>1149.3599999999999</v>
      </c>
      <c r="J18" s="421">
        <v>1297.2159999999999</v>
      </c>
      <c r="K18" s="421">
        <v>1227.856</v>
      </c>
      <c r="L18" s="421">
        <v>1144.472</v>
      </c>
      <c r="M18" s="421">
        <v>1021.032</v>
      </c>
      <c r="N18" s="421">
        <v>973.56799999999998</v>
      </c>
      <c r="O18" s="421">
        <v>980.92</v>
      </c>
      <c r="P18" s="421">
        <v>940.68799999999999</v>
      </c>
    </row>
    <row r="19" spans="2:16" x14ac:dyDescent="0.3">
      <c r="C19" s="137" t="s">
        <v>0</v>
      </c>
      <c r="D19" s="122" t="s">
        <v>16</v>
      </c>
      <c r="E19" s="122" t="s">
        <v>36</v>
      </c>
      <c r="F19" s="136">
        <f>+SUM(H19:P19)</f>
        <v>24935.916382707954</v>
      </c>
      <c r="H19" s="160">
        <f>+SUM(H16:H18)</f>
        <v>2329.9683827079543</v>
      </c>
      <c r="I19" s="160">
        <f t="shared" ref="I19:P19" si="1">+SUM(I16:I18)</f>
        <v>2468.9160000000002</v>
      </c>
      <c r="J19" s="160">
        <f t="shared" si="1"/>
        <v>2738.2119999999995</v>
      </c>
      <c r="K19" s="160">
        <f t="shared" si="1"/>
        <v>2757.9520000000002</v>
      </c>
      <c r="L19" s="160">
        <f t="shared" si="1"/>
        <v>2796.8119999999999</v>
      </c>
      <c r="M19" s="160">
        <f t="shared" si="1"/>
        <v>2935.212</v>
      </c>
      <c r="N19" s="160">
        <f t="shared" si="1"/>
        <v>2945.1800000000003</v>
      </c>
      <c r="O19" s="160">
        <f t="shared" si="1"/>
        <v>2998.8159999999998</v>
      </c>
      <c r="P19" s="160">
        <f t="shared" si="1"/>
        <v>2964.848</v>
      </c>
    </row>
    <row r="20" spans="2:16" x14ac:dyDescent="0.3">
      <c r="H20" s="138"/>
      <c r="I20" s="138"/>
      <c r="J20" s="138"/>
      <c r="K20" s="138"/>
      <c r="L20" s="138"/>
      <c r="M20" s="138"/>
      <c r="N20" s="138"/>
      <c r="O20" s="138"/>
      <c r="P20" s="138"/>
    </row>
    <row r="21" spans="2:16" x14ac:dyDescent="0.3">
      <c r="B21" s="126" t="s">
        <v>43</v>
      </c>
      <c r="C21" s="128"/>
      <c r="D21" s="127"/>
      <c r="E21" s="127"/>
      <c r="F21" s="128"/>
      <c r="G21" s="128"/>
      <c r="H21" s="139"/>
      <c r="I21" s="139"/>
      <c r="J21" s="139"/>
      <c r="K21" s="139"/>
      <c r="L21" s="139"/>
      <c r="M21" s="139"/>
      <c r="N21" s="139"/>
      <c r="O21" s="139"/>
      <c r="P21" s="139"/>
    </row>
    <row r="23" spans="2:16" x14ac:dyDescent="0.3">
      <c r="B23" s="130" t="s">
        <v>43</v>
      </c>
    </row>
    <row r="24" spans="2:16" x14ac:dyDescent="0.3">
      <c r="C24" s="117" t="s">
        <v>44</v>
      </c>
      <c r="D24" s="129" t="s">
        <v>16</v>
      </c>
      <c r="E24" s="129" t="s">
        <v>56</v>
      </c>
      <c r="F24" s="132">
        <f>+SUM(H24:P24)</f>
        <v>84861.214140000011</v>
      </c>
      <c r="H24" s="422">
        <v>8297.4108000000015</v>
      </c>
      <c r="I24" s="422">
        <v>7751.0619199999992</v>
      </c>
      <c r="J24" s="422">
        <v>8620.5982800000002</v>
      </c>
      <c r="K24" s="422">
        <v>8585.1313399999999</v>
      </c>
      <c r="L24" s="422">
        <v>9620.357350000002</v>
      </c>
      <c r="M24" s="422">
        <v>9881.6015299999999</v>
      </c>
      <c r="N24" s="422">
        <v>11724.025359999998</v>
      </c>
      <c r="O24" s="422">
        <v>10242.640179999999</v>
      </c>
      <c r="P24" s="422">
        <v>10138.387379999996</v>
      </c>
    </row>
    <row r="25" spans="2:16" x14ac:dyDescent="0.3">
      <c r="C25" s="117" t="s">
        <v>45</v>
      </c>
      <c r="D25" s="129" t="s">
        <v>16</v>
      </c>
      <c r="E25" s="129" t="s">
        <v>56</v>
      </c>
      <c r="F25" s="132">
        <f t="shared" ref="F25:F32" si="2">+SUM(H25:P25)</f>
        <v>21567.509480000001</v>
      </c>
      <c r="H25" s="422">
        <v>3406.5491400000005</v>
      </c>
      <c r="I25" s="422">
        <v>3230.1757599999996</v>
      </c>
      <c r="J25" s="422">
        <v>2895.0772699999998</v>
      </c>
      <c r="K25" s="422">
        <v>2138.3890500000002</v>
      </c>
      <c r="L25" s="422">
        <v>2109.99667</v>
      </c>
      <c r="M25" s="422">
        <v>2116.8495600000001</v>
      </c>
      <c r="N25" s="422">
        <v>1908.7745899999998</v>
      </c>
      <c r="O25" s="422">
        <v>1950.3940099999998</v>
      </c>
      <c r="P25" s="422">
        <v>1811.3034299999999</v>
      </c>
    </row>
    <row r="26" spans="2:16" x14ac:dyDescent="0.3">
      <c r="C26" s="117" t="s">
        <v>46</v>
      </c>
      <c r="D26" s="129" t="s">
        <v>16</v>
      </c>
      <c r="E26" s="129" t="s">
        <v>56</v>
      </c>
      <c r="F26" s="132">
        <f t="shared" si="2"/>
        <v>18169.828010000001</v>
      </c>
      <c r="H26" s="422">
        <v>1176.9263199999998</v>
      </c>
      <c r="I26" s="422">
        <v>1427.1543100000001</v>
      </c>
      <c r="J26" s="422">
        <v>1359.7539899999999</v>
      </c>
      <c r="K26" s="422">
        <v>1463.0715599999999</v>
      </c>
      <c r="L26" s="422">
        <v>2240.3244599999998</v>
      </c>
      <c r="M26" s="422">
        <v>2905.7992100000001</v>
      </c>
      <c r="N26" s="422">
        <v>2585.20246</v>
      </c>
      <c r="O26" s="422">
        <v>2435.6868899999999</v>
      </c>
      <c r="P26" s="422">
        <v>2575.9088099999999</v>
      </c>
    </row>
    <row r="27" spans="2:16" x14ac:dyDescent="0.3">
      <c r="C27" s="117" t="s">
        <v>47</v>
      </c>
      <c r="D27" s="129" t="s">
        <v>16</v>
      </c>
      <c r="E27" s="129" t="s">
        <v>56</v>
      </c>
      <c r="F27" s="132">
        <f t="shared" si="2"/>
        <v>51302.637369999989</v>
      </c>
      <c r="H27" s="422">
        <v>1727.14192</v>
      </c>
      <c r="I27" s="422">
        <v>2184.9997599999997</v>
      </c>
      <c r="J27" s="422">
        <v>2687.4779599999997</v>
      </c>
      <c r="K27" s="422">
        <v>3528.5381499999999</v>
      </c>
      <c r="L27" s="422">
        <v>3371.7980400000001</v>
      </c>
      <c r="M27" s="422">
        <v>5391.3660099999997</v>
      </c>
      <c r="N27" s="422">
        <v>8611.0540899999996</v>
      </c>
      <c r="O27" s="422">
        <v>12934.47328</v>
      </c>
      <c r="P27" s="422">
        <v>10865.788159999998</v>
      </c>
    </row>
    <row r="28" spans="2:16" x14ac:dyDescent="0.3">
      <c r="C28" s="117" t="s">
        <v>48</v>
      </c>
      <c r="D28" s="129" t="s">
        <v>16</v>
      </c>
      <c r="E28" s="129" t="s">
        <v>56</v>
      </c>
      <c r="F28" s="132">
        <f t="shared" si="2"/>
        <v>18951.673900000002</v>
      </c>
      <c r="H28" s="422">
        <v>1444.3386</v>
      </c>
      <c r="I28" s="422">
        <v>1704.82852</v>
      </c>
      <c r="J28" s="422">
        <v>2493.3229000000001</v>
      </c>
      <c r="K28" s="422">
        <v>2655.5786600000001</v>
      </c>
      <c r="L28" s="422">
        <v>2011.4886000000001</v>
      </c>
      <c r="M28" s="422">
        <v>2247.9425099999999</v>
      </c>
      <c r="N28" s="422">
        <v>2097.6233499999998</v>
      </c>
      <c r="O28" s="422">
        <v>2262.2871399999995</v>
      </c>
      <c r="P28" s="422">
        <v>2034.2636199999999</v>
      </c>
    </row>
    <row r="29" spans="2:16" x14ac:dyDescent="0.3">
      <c r="C29" s="117" t="s">
        <v>49</v>
      </c>
      <c r="D29" s="129" t="s">
        <v>16</v>
      </c>
      <c r="E29" s="129" t="s">
        <v>56</v>
      </c>
      <c r="F29" s="132">
        <f t="shared" si="2"/>
        <v>9958.8497000000007</v>
      </c>
      <c r="H29" s="422">
        <v>1162.8663799999999</v>
      </c>
      <c r="I29" s="422">
        <v>714.74987999999996</v>
      </c>
      <c r="J29" s="422">
        <v>1015.3835800000001</v>
      </c>
      <c r="K29" s="422">
        <v>897.63118999999995</v>
      </c>
      <c r="L29" s="422">
        <v>1016.93614</v>
      </c>
      <c r="M29" s="422">
        <v>1121.0720700000004</v>
      </c>
      <c r="N29" s="422">
        <v>1153.8732500000001</v>
      </c>
      <c r="O29" s="422">
        <v>1162.0875600000002</v>
      </c>
      <c r="P29" s="422">
        <v>1714.24965</v>
      </c>
    </row>
    <row r="30" spans="2:16" x14ac:dyDescent="0.3">
      <c r="C30" s="117" t="s">
        <v>50</v>
      </c>
      <c r="D30" s="129" t="s">
        <v>16</v>
      </c>
      <c r="E30" s="129" t="s">
        <v>56</v>
      </c>
      <c r="F30" s="132">
        <f t="shared" si="2"/>
        <v>35870.309330000004</v>
      </c>
      <c r="H30" s="422">
        <v>3390.6257000000001</v>
      </c>
      <c r="I30" s="422">
        <v>3099.0134200000002</v>
      </c>
      <c r="J30" s="422">
        <v>3273.2610900000009</v>
      </c>
      <c r="K30" s="422">
        <v>3420.1400799999992</v>
      </c>
      <c r="L30" s="422">
        <v>3943.0526900000004</v>
      </c>
      <c r="M30" s="422">
        <v>4499.0905300000004</v>
      </c>
      <c r="N30" s="422">
        <v>4523.4614100000008</v>
      </c>
      <c r="O30" s="422">
        <v>4843.3902199999993</v>
      </c>
      <c r="P30" s="422">
        <v>4878.274190000001</v>
      </c>
    </row>
    <row r="31" spans="2:16" x14ac:dyDescent="0.3">
      <c r="C31" s="117" t="s">
        <v>51</v>
      </c>
      <c r="D31" s="129" t="s">
        <v>16</v>
      </c>
      <c r="E31" s="129" t="s">
        <v>56</v>
      </c>
      <c r="F31" s="132">
        <f t="shared" si="2"/>
        <v>11495.14143</v>
      </c>
      <c r="H31" s="422">
        <v>1924.68732</v>
      </c>
      <c r="I31" s="422">
        <v>1338.8444300000001</v>
      </c>
      <c r="J31" s="422">
        <v>671.45267999999999</v>
      </c>
      <c r="K31" s="422">
        <v>1019.4279500000001</v>
      </c>
      <c r="L31" s="422">
        <v>1107.4684899999995</v>
      </c>
      <c r="M31" s="422">
        <v>753.57372999999995</v>
      </c>
      <c r="N31" s="422">
        <v>1385.1715300000001</v>
      </c>
      <c r="O31" s="422">
        <v>2080.3079700000003</v>
      </c>
      <c r="P31" s="422">
        <v>1214.2073300000002</v>
      </c>
    </row>
    <row r="32" spans="2:16" x14ac:dyDescent="0.3">
      <c r="C32" s="161" t="s">
        <v>0</v>
      </c>
      <c r="D32" s="224" t="s">
        <v>16</v>
      </c>
      <c r="E32" s="224" t="s">
        <v>56</v>
      </c>
      <c r="F32" s="225">
        <f t="shared" si="2"/>
        <v>252177.16336000001</v>
      </c>
      <c r="H32" s="162">
        <f t="shared" ref="H32:P32" si="3">+SUM(H24:H31)</f>
        <v>22530.546180000005</v>
      </c>
      <c r="I32" s="162">
        <f t="shared" si="3"/>
        <v>21450.827999999998</v>
      </c>
      <c r="J32" s="162">
        <f t="shared" si="3"/>
        <v>23016.32775</v>
      </c>
      <c r="K32" s="162">
        <f t="shared" si="3"/>
        <v>23707.90798</v>
      </c>
      <c r="L32" s="162">
        <f t="shared" si="3"/>
        <v>25421.422440000006</v>
      </c>
      <c r="M32" s="162">
        <f t="shared" si="3"/>
        <v>28917.295150000002</v>
      </c>
      <c r="N32" s="162">
        <f t="shared" si="3"/>
        <v>33989.186040000001</v>
      </c>
      <c r="O32" s="162">
        <f t="shared" si="3"/>
        <v>37911.267250000004</v>
      </c>
      <c r="P32" s="162">
        <f t="shared" si="3"/>
        <v>35232.382570000002</v>
      </c>
    </row>
    <row r="33" spans="2:16" x14ac:dyDescent="0.3">
      <c r="D33" s="117"/>
      <c r="E33" s="117"/>
      <c r="G33" s="117"/>
    </row>
    <row r="34" spans="2:16" ht="14.5" thickBot="1" x14ac:dyDescent="0.35">
      <c r="B34" s="140" t="s">
        <v>113</v>
      </c>
      <c r="C34" s="141"/>
      <c r="D34" s="142" t="s">
        <v>16</v>
      </c>
      <c r="E34" s="142" t="s">
        <v>56</v>
      </c>
      <c r="F34" s="143">
        <f>+SUM(H34:P34)</f>
        <v>590146.55937000003</v>
      </c>
      <c r="H34" s="143">
        <f t="shared" ref="H34:P34" si="4">+H32+H10</f>
        <v>54883.503880000004</v>
      </c>
      <c r="I34" s="143">
        <f t="shared" si="4"/>
        <v>56860.584080000001</v>
      </c>
      <c r="J34" s="143">
        <f t="shared" si="4"/>
        <v>58606.116120000006</v>
      </c>
      <c r="K34" s="143">
        <f t="shared" si="4"/>
        <v>60503.289579999997</v>
      </c>
      <c r="L34" s="143">
        <f t="shared" si="4"/>
        <v>62075.50344</v>
      </c>
      <c r="M34" s="143">
        <f t="shared" si="4"/>
        <v>65656.230869999999</v>
      </c>
      <c r="N34" s="143">
        <f t="shared" si="4"/>
        <v>73381.611319999996</v>
      </c>
      <c r="O34" s="143">
        <f t="shared" si="4"/>
        <v>79974.94862000001</v>
      </c>
      <c r="P34" s="143">
        <f t="shared" si="4"/>
        <v>78204.771460000004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C784-B25B-4142-A1A9-04E9FF2AD383}">
  <dimension ref="B1:N177"/>
  <sheetViews>
    <sheetView showGridLines="0" zoomScale="70" zoomScaleNormal="70" workbookViewId="0">
      <pane xSplit="5" ySplit="2" topLeftCell="F117" activePane="bottomRight" state="frozen"/>
      <selection pane="topRight" activeCell="G1" sqref="G1"/>
      <selection pane="bottomLeft" activeCell="A3" sqref="A3"/>
      <selection pane="bottomRight" activeCell="D93" sqref="D93"/>
    </sheetView>
  </sheetViews>
  <sheetFormatPr defaultColWidth="10.6640625" defaultRowHeight="14" x14ac:dyDescent="0.3"/>
  <cols>
    <col min="2" max="2" width="2.08203125" customWidth="1"/>
    <col min="3" max="3" width="26.75" customWidth="1"/>
  </cols>
  <sheetData>
    <row r="1" spans="2:14" s="58" customFormat="1" ht="13" x14ac:dyDescent="0.3">
      <c r="D1" s="59"/>
      <c r="E1" s="59"/>
      <c r="F1" s="60">
        <v>2011</v>
      </c>
      <c r="G1" s="60">
        <f t="shared" ref="G1:N1" si="0">+F1+1</f>
        <v>2012</v>
      </c>
      <c r="H1" s="60">
        <f t="shared" si="0"/>
        <v>2013</v>
      </c>
      <c r="I1" s="60">
        <f t="shared" si="0"/>
        <v>2014</v>
      </c>
      <c r="J1" s="60">
        <f t="shared" si="0"/>
        <v>2015</v>
      </c>
      <c r="K1" s="60">
        <f t="shared" si="0"/>
        <v>2016</v>
      </c>
      <c r="L1" s="60">
        <f t="shared" si="0"/>
        <v>2017</v>
      </c>
      <c r="M1" s="60">
        <f t="shared" si="0"/>
        <v>2018</v>
      </c>
      <c r="N1" s="60">
        <f t="shared" si="0"/>
        <v>2019</v>
      </c>
    </row>
    <row r="2" spans="2:14" s="58" customFormat="1" ht="13" x14ac:dyDescent="0.3">
      <c r="B2" s="61"/>
      <c r="C2" s="61"/>
      <c r="D2" s="62" t="s">
        <v>2</v>
      </c>
      <c r="E2" s="62" t="s">
        <v>30</v>
      </c>
      <c r="F2" s="61"/>
      <c r="G2" s="61"/>
      <c r="H2" s="61"/>
      <c r="I2" s="61"/>
      <c r="J2" s="61"/>
      <c r="K2" s="61"/>
      <c r="L2" s="61"/>
      <c r="M2" s="61"/>
      <c r="N2" s="61"/>
    </row>
    <row r="3" spans="2:14" s="4" customFormat="1" ht="12.5" x14ac:dyDescent="0.25"/>
    <row r="4" spans="2:14" s="4" customFormat="1" ht="13" x14ac:dyDescent="0.3">
      <c r="B4" s="61" t="s">
        <v>587</v>
      </c>
      <c r="C4" s="61"/>
      <c r="D4" s="62"/>
      <c r="E4" s="62"/>
      <c r="F4" s="61"/>
      <c r="G4" s="61"/>
      <c r="H4" s="61"/>
      <c r="I4" s="61"/>
      <c r="J4" s="61"/>
      <c r="K4" s="61"/>
      <c r="L4" s="61"/>
      <c r="M4" s="61"/>
      <c r="N4" s="61"/>
    </row>
    <row r="5" spans="2:14" s="4" customFormat="1" ht="12.5" x14ac:dyDescent="0.25"/>
    <row r="6" spans="2:14" s="4" customFormat="1" ht="12.75" customHeight="1" x14ac:dyDescent="0.3">
      <c r="B6" s="3" t="s">
        <v>470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s="4" customFormat="1" ht="12.75" customHeight="1" x14ac:dyDescent="0.25"/>
    <row r="8" spans="2:14" s="4" customFormat="1" ht="12.75" customHeight="1" x14ac:dyDescent="0.3">
      <c r="B8" s="7" t="s">
        <v>467</v>
      </c>
    </row>
    <row r="9" spans="2:14" s="4" customFormat="1" ht="12.75" customHeight="1" x14ac:dyDescent="0.25">
      <c r="C9" s="4" t="s">
        <v>468</v>
      </c>
      <c r="D9" s="6" t="s">
        <v>322</v>
      </c>
      <c r="E9" s="6" t="s">
        <v>56</v>
      </c>
      <c r="F9" s="64">
        <v>30527.949000000001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</row>
    <row r="10" spans="2:14" s="4" customFormat="1" ht="12.75" customHeight="1" x14ac:dyDescent="0.25">
      <c r="C10" s="4" t="s">
        <v>64</v>
      </c>
      <c r="D10" s="6" t="s">
        <v>322</v>
      </c>
      <c r="E10" s="6" t="s">
        <v>56</v>
      </c>
      <c r="F10" s="64">
        <v>27780.819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spans="2:14" s="4" customFormat="1" ht="12.75" customHeight="1" collapsed="1" x14ac:dyDescent="0.25"/>
    <row r="12" spans="2:14" s="4" customFormat="1" ht="12.75" customHeight="1" x14ac:dyDescent="0.3">
      <c r="B12" s="7" t="s">
        <v>324</v>
      </c>
    </row>
    <row r="13" spans="2:14" s="4" customFormat="1" ht="12.75" customHeight="1" x14ac:dyDescent="0.25">
      <c r="C13" s="4" t="s">
        <v>317</v>
      </c>
      <c r="D13" s="6" t="s">
        <v>322</v>
      </c>
      <c r="E13" s="6" t="s">
        <v>56</v>
      </c>
      <c r="F13" s="64">
        <v>0</v>
      </c>
      <c r="G13" s="64">
        <v>5.1617979509202447</v>
      </c>
      <c r="H13" s="64">
        <v>4.3762402483480399E-6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2:14" s="4" customFormat="1" ht="12.75" customHeight="1" x14ac:dyDescent="0.25">
      <c r="C14" s="4" t="s">
        <v>318</v>
      </c>
      <c r="D14" s="6" t="s">
        <v>322</v>
      </c>
      <c r="E14" s="6" t="s">
        <v>56</v>
      </c>
      <c r="F14" s="64">
        <v>0</v>
      </c>
      <c r="G14" s="64">
        <v>2.5200576728395063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2:14" s="4" customFormat="1" ht="12.75" customHeight="1" x14ac:dyDescent="0.25">
      <c r="C15" s="4" t="s">
        <v>319</v>
      </c>
      <c r="D15" s="6" t="s">
        <v>322</v>
      </c>
      <c r="E15" s="6" t="s">
        <v>56</v>
      </c>
      <c r="F15" s="64">
        <v>0</v>
      </c>
      <c r="G15" s="64">
        <v>0</v>
      </c>
      <c r="H15" s="64">
        <v>258.64859999999999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2:14" s="4" customFormat="1" ht="12.75" customHeight="1" x14ac:dyDescent="0.25">
      <c r="C16" s="4" t="s">
        <v>321</v>
      </c>
      <c r="D16" s="6" t="s">
        <v>322</v>
      </c>
      <c r="E16" s="6" t="s">
        <v>56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8.35</v>
      </c>
      <c r="L16" s="64">
        <v>0</v>
      </c>
      <c r="M16" s="64">
        <v>0</v>
      </c>
      <c r="N16" s="64">
        <v>0</v>
      </c>
    </row>
    <row r="17" spans="2:14" s="4" customFormat="1" ht="12.75" customHeight="1" x14ac:dyDescent="0.25">
      <c r="C17" s="223" t="s">
        <v>344</v>
      </c>
      <c r="D17" s="254" t="s">
        <v>322</v>
      </c>
      <c r="E17" s="254" t="s">
        <v>56</v>
      </c>
      <c r="F17" s="256">
        <v>57.362012569334681</v>
      </c>
      <c r="G17" s="256">
        <v>38.883344288661903</v>
      </c>
      <c r="H17" s="256">
        <v>117.98591314200341</v>
      </c>
      <c r="I17" s="256">
        <v>-9.5140000000013963E-2</v>
      </c>
      <c r="J17" s="256">
        <v>0</v>
      </c>
      <c r="K17" s="256">
        <v>0</v>
      </c>
      <c r="L17" s="256">
        <v>0</v>
      </c>
      <c r="M17" s="256">
        <v>0</v>
      </c>
      <c r="N17" s="256">
        <v>-127.15434999999998</v>
      </c>
    </row>
    <row r="18" spans="2:14" s="4" customFormat="1" ht="12.75" customHeight="1" x14ac:dyDescent="0.25">
      <c r="C18" s="223" t="s">
        <v>345</v>
      </c>
      <c r="D18" s="254" t="s">
        <v>322</v>
      </c>
      <c r="E18" s="254" t="s">
        <v>56</v>
      </c>
      <c r="F18" s="256">
        <v>231.24745976239771</v>
      </c>
      <c r="G18" s="256">
        <v>721.34354175930457</v>
      </c>
      <c r="H18" s="256">
        <v>365.43634847829782</v>
      </c>
      <c r="I18" s="256">
        <v>91.786659999999912</v>
      </c>
      <c r="J18" s="256">
        <v>37.030709999999964</v>
      </c>
      <c r="K18" s="256">
        <v>-9.2702999999998141</v>
      </c>
      <c r="L18" s="256">
        <v>0</v>
      </c>
      <c r="M18" s="256">
        <v>0</v>
      </c>
      <c r="N18" s="256">
        <v>-375.16810999999961</v>
      </c>
    </row>
    <row r="19" spans="2:14" s="4" customFormat="1" ht="12.75" customHeight="1" x14ac:dyDescent="0.25">
      <c r="C19" s="223" t="s">
        <v>346</v>
      </c>
      <c r="D19" s="254" t="s">
        <v>322</v>
      </c>
      <c r="E19" s="254" t="s">
        <v>56</v>
      </c>
      <c r="F19" s="256">
        <v>0</v>
      </c>
      <c r="G19" s="256">
        <v>67.228970000000004</v>
      </c>
      <c r="H19" s="256">
        <v>0</v>
      </c>
      <c r="I19" s="256">
        <v>0</v>
      </c>
      <c r="J19" s="256">
        <v>0</v>
      </c>
      <c r="K19" s="256">
        <v>5.87</v>
      </c>
      <c r="L19" s="256">
        <v>0</v>
      </c>
      <c r="M19" s="256">
        <v>0</v>
      </c>
      <c r="N19" s="256">
        <v>0</v>
      </c>
    </row>
    <row r="20" spans="2:14" s="4" customFormat="1" ht="12.75" customHeight="1" x14ac:dyDescent="0.25">
      <c r="C20" s="223" t="s">
        <v>347</v>
      </c>
      <c r="D20" s="254" t="s">
        <v>322</v>
      </c>
      <c r="E20" s="254" t="s">
        <v>56</v>
      </c>
      <c r="F20" s="256">
        <v>189.00256055125357</v>
      </c>
      <c r="G20" s="256">
        <v>163.22445931117645</v>
      </c>
      <c r="H20" s="256">
        <v>153.56763013756998</v>
      </c>
      <c r="I20" s="256">
        <v>109.07793999999994</v>
      </c>
      <c r="J20" s="256">
        <v>382.54705999999999</v>
      </c>
      <c r="K20" s="256">
        <v>51.67</v>
      </c>
      <c r="L20" s="256">
        <v>0</v>
      </c>
      <c r="M20" s="256">
        <v>0</v>
      </c>
      <c r="N20" s="256">
        <v>-1.3871199999998789</v>
      </c>
    </row>
    <row r="21" spans="2:14" s="4" customFormat="1" ht="12.75" customHeight="1" collapsed="1" x14ac:dyDescent="0.25">
      <c r="D21" s="6"/>
      <c r="E21" s="6"/>
      <c r="F21" s="64"/>
      <c r="G21" s="64"/>
      <c r="H21" s="64"/>
      <c r="I21" s="64"/>
      <c r="J21" s="64"/>
      <c r="K21" s="64"/>
      <c r="L21" s="64"/>
      <c r="M21" s="64"/>
      <c r="N21" s="64"/>
    </row>
    <row r="22" spans="2:14" s="4" customFormat="1" ht="12.75" customHeight="1" x14ac:dyDescent="0.3">
      <c r="B22" s="7" t="s">
        <v>320</v>
      </c>
      <c r="C22" s="71"/>
      <c r="D22" s="76"/>
      <c r="E22" s="76"/>
      <c r="G22" s="69"/>
      <c r="I22" s="69"/>
      <c r="J22" s="69"/>
      <c r="K22" s="69"/>
      <c r="L22" s="69"/>
      <c r="M22" s="69"/>
      <c r="N22" s="69"/>
    </row>
    <row r="23" spans="2:14" s="4" customFormat="1" ht="12.75" customHeight="1" x14ac:dyDescent="0.25">
      <c r="C23" s="71" t="s">
        <v>323</v>
      </c>
      <c r="D23" s="6" t="s">
        <v>322</v>
      </c>
      <c r="E23" s="6" t="s">
        <v>56</v>
      </c>
      <c r="F23" s="68">
        <v>0</v>
      </c>
      <c r="G23" s="68">
        <v>0</v>
      </c>
      <c r="H23" s="68">
        <v>136.26560000000001</v>
      </c>
      <c r="I23" s="68">
        <v>22.311049999999987</v>
      </c>
      <c r="J23" s="68">
        <v>0</v>
      </c>
      <c r="K23" s="68">
        <v>4.2750000000000004</v>
      </c>
      <c r="L23" s="68">
        <v>29.43</v>
      </c>
      <c r="M23" s="68">
        <v>0</v>
      </c>
      <c r="N23" s="68">
        <v>0</v>
      </c>
    </row>
    <row r="24" spans="2:14" s="4" customFormat="1" ht="12.75" customHeight="1" x14ac:dyDescent="0.25">
      <c r="C24" s="71" t="s">
        <v>326</v>
      </c>
      <c r="D24" s="6" t="s">
        <v>322</v>
      </c>
      <c r="E24" s="6" t="s">
        <v>56</v>
      </c>
      <c r="F24" s="68">
        <v>610.32986011924845</v>
      </c>
      <c r="G24" s="68">
        <v>59.624694689610159</v>
      </c>
      <c r="H24" s="68">
        <v>97.025425191141437</v>
      </c>
      <c r="I24" s="68">
        <v>-46.610170000000039</v>
      </c>
      <c r="J24" s="68">
        <v>0</v>
      </c>
      <c r="K24" s="68">
        <v>-108.47457000000007</v>
      </c>
      <c r="L24" s="68">
        <v>-359.48385999999999</v>
      </c>
      <c r="M24" s="68">
        <v>-131.29744999999994</v>
      </c>
      <c r="N24" s="68">
        <v>0</v>
      </c>
    </row>
    <row r="25" spans="2:14" s="4" customFormat="1" ht="12.75" customHeight="1" x14ac:dyDescent="0.25">
      <c r="C25" s="71" t="s">
        <v>327</v>
      </c>
      <c r="D25" s="6" t="s">
        <v>322</v>
      </c>
      <c r="E25" s="6" t="s">
        <v>56</v>
      </c>
      <c r="F25" s="68">
        <v>500.1293560162672</v>
      </c>
      <c r="G25" s="68">
        <v>5.1881496131484743</v>
      </c>
      <c r="H25" s="68">
        <v>4.3705843272618947E-6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 s="4" customFormat="1" ht="12.75" customHeight="1" x14ac:dyDescent="0.25">
      <c r="C26" s="71" t="s">
        <v>328</v>
      </c>
      <c r="D26" s="6" t="s">
        <v>322</v>
      </c>
      <c r="E26" s="6" t="s">
        <v>56</v>
      </c>
      <c r="F26" s="68">
        <v>6.7727108583095594</v>
      </c>
      <c r="G26" s="68">
        <v>7.0257497978907846E-2</v>
      </c>
      <c r="H26" s="68">
        <v>-8.3562884674392998E-6</v>
      </c>
      <c r="I26" s="68">
        <v>0</v>
      </c>
      <c r="J26" s="68">
        <v>0</v>
      </c>
      <c r="K26" s="68">
        <v>-5.6591400000000007</v>
      </c>
      <c r="L26" s="68">
        <v>0</v>
      </c>
      <c r="M26" s="68">
        <v>0</v>
      </c>
      <c r="N26" s="68">
        <v>0</v>
      </c>
    </row>
    <row r="27" spans="2:14" s="4" customFormat="1" ht="12.75" customHeight="1" x14ac:dyDescent="0.25">
      <c r="C27" s="71" t="s">
        <v>329</v>
      </c>
      <c r="D27" s="6" t="s">
        <v>322</v>
      </c>
      <c r="E27" s="6" t="s">
        <v>56</v>
      </c>
      <c r="F27" s="68">
        <v>0</v>
      </c>
      <c r="G27" s="68">
        <v>17.647771040863532</v>
      </c>
      <c r="H27" s="68">
        <v>-1.040863531670766E-6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s="4" customFormat="1" ht="12.75" customHeight="1" x14ac:dyDescent="0.25">
      <c r="C28" s="71" t="s">
        <v>330</v>
      </c>
      <c r="D28" s="6" t="s">
        <v>322</v>
      </c>
      <c r="E28" s="6" t="s">
        <v>56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57.194940000000003</v>
      </c>
      <c r="L28" s="68">
        <v>0</v>
      </c>
      <c r="M28" s="68">
        <v>0</v>
      </c>
      <c r="N28" s="68">
        <v>0</v>
      </c>
    </row>
    <row r="29" spans="2:14" s="4" customFormat="1" ht="12.75" customHeight="1" x14ac:dyDescent="0.25">
      <c r="C29" s="71" t="s">
        <v>63</v>
      </c>
      <c r="D29" s="6" t="s">
        <v>322</v>
      </c>
      <c r="E29" s="6" t="s">
        <v>56</v>
      </c>
      <c r="F29" s="68">
        <v>250.24086251071526</v>
      </c>
      <c r="G29" s="68">
        <v>117.89110392379207</v>
      </c>
      <c r="H29" s="68">
        <v>34.688033565492546</v>
      </c>
      <c r="I29" s="68">
        <v>38.124700000000068</v>
      </c>
      <c r="J29" s="68">
        <v>165.84268999999856</v>
      </c>
      <c r="K29" s="68">
        <v>266.80310000000128</v>
      </c>
      <c r="L29" s="68">
        <v>908.54286000000434</v>
      </c>
      <c r="M29" s="68">
        <v>180.03586000000058</v>
      </c>
      <c r="N29" s="68">
        <v>451.75128999999117</v>
      </c>
    </row>
    <row r="30" spans="2:14" s="4" customFormat="1" ht="12.75" customHeight="1" x14ac:dyDescent="0.25">
      <c r="C30" s="4" t="s">
        <v>331</v>
      </c>
      <c r="D30" s="6" t="s">
        <v>322</v>
      </c>
      <c r="E30" s="6" t="s">
        <v>56</v>
      </c>
      <c r="F30" s="253">
        <v>0</v>
      </c>
      <c r="G30" s="253">
        <v>0</v>
      </c>
      <c r="H30" s="253">
        <v>259.65131000000002</v>
      </c>
      <c r="I30" s="253">
        <v>0</v>
      </c>
      <c r="J30" s="253">
        <v>0</v>
      </c>
      <c r="K30" s="253">
        <v>0</v>
      </c>
      <c r="L30" s="253">
        <v>0</v>
      </c>
      <c r="M30" s="253">
        <v>0</v>
      </c>
      <c r="N30" s="253">
        <v>0</v>
      </c>
    </row>
    <row r="31" spans="2:14" s="4" customFormat="1" ht="12.75" customHeight="1" x14ac:dyDescent="0.25">
      <c r="C31" s="4" t="s">
        <v>332</v>
      </c>
      <c r="D31" s="6" t="s">
        <v>322</v>
      </c>
      <c r="E31" s="6" t="s">
        <v>56</v>
      </c>
      <c r="F31" s="253">
        <v>0</v>
      </c>
      <c r="G31" s="253">
        <v>1.0361600000000002</v>
      </c>
      <c r="H31" s="253">
        <v>0</v>
      </c>
      <c r="I31" s="253">
        <v>0</v>
      </c>
      <c r="J31" s="253">
        <v>0</v>
      </c>
      <c r="K31" s="253">
        <v>0</v>
      </c>
      <c r="L31" s="253">
        <v>0</v>
      </c>
      <c r="M31" s="253">
        <v>0</v>
      </c>
      <c r="N31" s="253">
        <v>0</v>
      </c>
    </row>
    <row r="32" spans="2:14" s="4" customFormat="1" ht="12.75" customHeight="1" x14ac:dyDescent="0.25">
      <c r="C32" s="4" t="s">
        <v>333</v>
      </c>
      <c r="D32" s="6" t="s">
        <v>322</v>
      </c>
      <c r="E32" s="6" t="s">
        <v>56</v>
      </c>
      <c r="F32" s="253">
        <v>0</v>
      </c>
      <c r="G32" s="253">
        <v>82.321449999999984</v>
      </c>
      <c r="H32" s="253">
        <v>0</v>
      </c>
      <c r="I32" s="253">
        <v>-80.808639999999983</v>
      </c>
      <c r="J32" s="253">
        <v>0</v>
      </c>
      <c r="K32" s="253">
        <v>0</v>
      </c>
      <c r="L32" s="253">
        <v>0</v>
      </c>
      <c r="M32" s="253">
        <v>0</v>
      </c>
      <c r="N32" s="253">
        <v>0</v>
      </c>
    </row>
    <row r="33" spans="2:14" s="4" customFormat="1" ht="12.75" customHeight="1" x14ac:dyDescent="0.25">
      <c r="C33" s="4" t="s">
        <v>334</v>
      </c>
      <c r="D33" s="6" t="s">
        <v>322</v>
      </c>
      <c r="E33" s="6" t="s">
        <v>56</v>
      </c>
      <c r="F33" s="253">
        <v>0</v>
      </c>
      <c r="G33" s="253">
        <v>3.121</v>
      </c>
      <c r="H33" s="253">
        <v>0</v>
      </c>
      <c r="I33" s="253">
        <v>0</v>
      </c>
      <c r="J33" s="253">
        <v>0</v>
      </c>
      <c r="K33" s="253">
        <v>0</v>
      </c>
      <c r="L33" s="253">
        <v>0</v>
      </c>
      <c r="M33" s="253">
        <v>0</v>
      </c>
      <c r="N33" s="253">
        <v>0</v>
      </c>
    </row>
    <row r="34" spans="2:14" s="4" customFormat="1" ht="12.75" customHeight="1" x14ac:dyDescent="0.25">
      <c r="C34" s="4" t="s">
        <v>335</v>
      </c>
      <c r="D34" s="6" t="s">
        <v>322</v>
      </c>
      <c r="E34" s="6" t="s">
        <v>56</v>
      </c>
      <c r="F34" s="253">
        <v>0</v>
      </c>
      <c r="G34" s="253">
        <v>0</v>
      </c>
      <c r="H34" s="253">
        <v>550.20005000000003</v>
      </c>
      <c r="I34" s="253">
        <v>0</v>
      </c>
      <c r="J34" s="253">
        <v>0</v>
      </c>
      <c r="K34" s="253">
        <v>0</v>
      </c>
      <c r="L34" s="253">
        <v>0</v>
      </c>
      <c r="M34" s="253">
        <v>0</v>
      </c>
      <c r="N34" s="253">
        <v>0</v>
      </c>
    </row>
    <row r="35" spans="2:14" s="4" customFormat="1" ht="12.75" customHeight="1" x14ac:dyDescent="0.25">
      <c r="C35" s="4" t="s">
        <v>336</v>
      </c>
      <c r="D35" s="6" t="s">
        <v>322</v>
      </c>
      <c r="E35" s="6" t="s">
        <v>56</v>
      </c>
      <c r="F35" s="253">
        <v>0</v>
      </c>
      <c r="G35" s="253">
        <v>0</v>
      </c>
      <c r="H35" s="253">
        <v>0</v>
      </c>
      <c r="I35" s="253">
        <v>199.94014000000001</v>
      </c>
      <c r="J35" s="253">
        <v>0</v>
      </c>
      <c r="K35" s="253">
        <v>18.899999999999999</v>
      </c>
      <c r="L35" s="253">
        <v>0</v>
      </c>
      <c r="M35" s="253">
        <v>0</v>
      </c>
      <c r="N35" s="253">
        <v>0</v>
      </c>
    </row>
    <row r="36" spans="2:14" s="4" customFormat="1" ht="12.75" customHeight="1" x14ac:dyDescent="0.25">
      <c r="C36" s="4" t="s">
        <v>337</v>
      </c>
      <c r="D36" s="6" t="s">
        <v>322</v>
      </c>
      <c r="E36" s="6" t="s">
        <v>56</v>
      </c>
      <c r="F36" s="253">
        <v>0</v>
      </c>
      <c r="G36" s="253">
        <v>0</v>
      </c>
      <c r="H36" s="253">
        <v>0</v>
      </c>
      <c r="I36" s="253">
        <v>167.67669000000001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</row>
    <row r="37" spans="2:14" s="4" customFormat="1" ht="12.75" customHeight="1" x14ac:dyDescent="0.25">
      <c r="C37" s="4" t="s">
        <v>338</v>
      </c>
      <c r="D37" s="6" t="s">
        <v>322</v>
      </c>
      <c r="E37" s="6" t="s">
        <v>56</v>
      </c>
      <c r="F37" s="253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20.99014</v>
      </c>
      <c r="L37" s="253">
        <v>0</v>
      </c>
      <c r="M37" s="253">
        <v>0</v>
      </c>
      <c r="N37" s="253">
        <v>0</v>
      </c>
    </row>
    <row r="38" spans="2:14" s="4" customFormat="1" ht="12.75" customHeight="1" x14ac:dyDescent="0.25">
      <c r="C38" s="4" t="s">
        <v>339</v>
      </c>
      <c r="D38" s="6" t="s">
        <v>322</v>
      </c>
      <c r="E38" s="6" t="s">
        <v>56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23.12208</v>
      </c>
      <c r="L38" s="253">
        <v>0</v>
      </c>
      <c r="M38" s="253">
        <v>0</v>
      </c>
      <c r="N38" s="253">
        <v>0</v>
      </c>
    </row>
    <row r="39" spans="2:14" s="4" customFormat="1" ht="12.75" customHeight="1" x14ac:dyDescent="0.25">
      <c r="C39" s="4" t="s">
        <v>340</v>
      </c>
      <c r="D39" s="6" t="s">
        <v>322</v>
      </c>
      <c r="E39" s="6" t="s">
        <v>56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100.6927</v>
      </c>
      <c r="L39" s="253">
        <v>0</v>
      </c>
      <c r="M39" s="253">
        <v>0</v>
      </c>
      <c r="N39" s="253">
        <v>0</v>
      </c>
    </row>
    <row r="40" spans="2:14" s="4" customFormat="1" ht="12.75" customHeight="1" x14ac:dyDescent="0.25">
      <c r="C40" s="4" t="s">
        <v>341</v>
      </c>
      <c r="D40" s="6" t="s">
        <v>322</v>
      </c>
      <c r="E40" s="6" t="s">
        <v>56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25.06664</v>
      </c>
      <c r="L40" s="253">
        <v>0</v>
      </c>
      <c r="M40" s="253">
        <v>0</v>
      </c>
      <c r="N40" s="253">
        <v>0</v>
      </c>
    </row>
    <row r="41" spans="2:14" s="4" customFormat="1" ht="12.75" customHeight="1" x14ac:dyDescent="0.25">
      <c r="C41" s="4" t="s">
        <v>342</v>
      </c>
      <c r="D41" s="6" t="s">
        <v>322</v>
      </c>
      <c r="E41" s="6" t="s">
        <v>56</v>
      </c>
      <c r="F41" s="253">
        <v>0</v>
      </c>
      <c r="G41" s="253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50.00535</v>
      </c>
      <c r="M41" s="253">
        <v>0</v>
      </c>
      <c r="N41" s="253">
        <v>0</v>
      </c>
    </row>
    <row r="42" spans="2:14" s="4" customFormat="1" ht="12.75" customHeight="1" x14ac:dyDescent="0.25">
      <c r="C42" s="4" t="s">
        <v>343</v>
      </c>
      <c r="D42" s="6" t="s">
        <v>322</v>
      </c>
      <c r="E42" s="6" t="s">
        <v>56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3">
        <v>61.469720000000002</v>
      </c>
    </row>
    <row r="43" spans="2:14" s="4" customFormat="1" ht="12.75" customHeight="1" x14ac:dyDescent="0.25">
      <c r="C43" s="223" t="s">
        <v>61</v>
      </c>
      <c r="D43" s="254" t="s">
        <v>322</v>
      </c>
      <c r="E43" s="254" t="s">
        <v>56</v>
      </c>
      <c r="F43" s="264">
        <v>435.84869635822514</v>
      </c>
      <c r="G43" s="264">
        <v>154.42507763198688</v>
      </c>
      <c r="H43" s="264">
        <v>64.026106009787185</v>
      </c>
      <c r="I43" s="264">
        <v>-0.20399999999976717</v>
      </c>
      <c r="J43" s="264">
        <v>-8.2178499999988119</v>
      </c>
      <c r="K43" s="264">
        <v>25.499410000001429</v>
      </c>
      <c r="L43" s="264">
        <v>-332.84389000000215</v>
      </c>
      <c r="M43" s="264">
        <v>-14.878659999999917</v>
      </c>
      <c r="N43" s="264">
        <v>-7.7727599999998933</v>
      </c>
    </row>
    <row r="44" spans="2:14" s="4" customFormat="1" ht="12.75" customHeight="1" x14ac:dyDescent="0.3">
      <c r="B44" s="7"/>
      <c r="C44" s="223" t="s">
        <v>62</v>
      </c>
      <c r="D44" s="254" t="s">
        <v>322</v>
      </c>
      <c r="E44" s="254" t="s">
        <v>56</v>
      </c>
      <c r="F44" s="264">
        <v>997.80311836067028</v>
      </c>
      <c r="G44" s="264">
        <v>552.91836864297909</v>
      </c>
      <c r="H44" s="264">
        <v>154.34166299635172</v>
      </c>
      <c r="I44" s="264">
        <v>172.31816000000015</v>
      </c>
      <c r="J44" s="264">
        <v>71.016999999999996</v>
      </c>
      <c r="K44" s="264">
        <v>17.766110000001035</v>
      </c>
      <c r="L44" s="264">
        <v>99.110960000000432</v>
      </c>
      <c r="M44" s="264">
        <v>43.656689999999941</v>
      </c>
      <c r="N44" s="264">
        <v>-171.79400000000092</v>
      </c>
    </row>
    <row r="45" spans="2:14" s="4" customFormat="1" ht="12.75" customHeight="1" x14ac:dyDescent="0.25">
      <c r="C45" s="223" t="s">
        <v>348</v>
      </c>
      <c r="D45" s="254" t="s">
        <v>322</v>
      </c>
      <c r="E45" s="254" t="s">
        <v>56</v>
      </c>
      <c r="F45" s="264">
        <v>38.29153580136407</v>
      </c>
      <c r="G45" s="264">
        <v>0.86421264239555606</v>
      </c>
      <c r="H45" s="264">
        <v>1.5562403714284302E-6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</row>
    <row r="46" spans="2:14" s="4" customFormat="1" ht="12.75" customHeight="1" x14ac:dyDescent="0.25">
      <c r="C46" s="223" t="s">
        <v>349</v>
      </c>
      <c r="D46" s="254" t="s">
        <v>322</v>
      </c>
      <c r="E46" s="254" t="s">
        <v>56</v>
      </c>
      <c r="F46" s="264">
        <v>19.254816932695107</v>
      </c>
      <c r="G46" s="264">
        <v>0.19974206636524469</v>
      </c>
      <c r="H46" s="264">
        <v>665.29876100093975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</row>
    <row r="47" spans="2:14" s="4" customFormat="1" ht="12.75" customHeight="1" x14ac:dyDescent="0.25">
      <c r="C47" s="223" t="s">
        <v>350</v>
      </c>
      <c r="D47" s="254" t="s">
        <v>322</v>
      </c>
      <c r="E47" s="254" t="s">
        <v>56</v>
      </c>
      <c r="F47" s="264">
        <v>22.489212718772837</v>
      </c>
      <c r="G47" s="264">
        <v>147.40459728122718</v>
      </c>
      <c r="H47" s="264">
        <v>-1.0000000038417056E-5</v>
      </c>
      <c r="I47" s="264">
        <v>198.10502999999997</v>
      </c>
      <c r="J47" s="264">
        <v>0</v>
      </c>
      <c r="K47" s="264">
        <v>0</v>
      </c>
      <c r="L47" s="264">
        <v>0</v>
      </c>
      <c r="M47" s="264">
        <v>-3</v>
      </c>
      <c r="N47" s="264">
        <v>0</v>
      </c>
    </row>
    <row r="48" spans="2:14" s="4" customFormat="1" ht="12.75" customHeight="1" x14ac:dyDescent="0.25">
      <c r="C48" s="223" t="s">
        <v>351</v>
      </c>
      <c r="D48" s="254" t="s">
        <v>322</v>
      </c>
      <c r="E48" s="254" t="s">
        <v>56</v>
      </c>
      <c r="F48" s="264">
        <v>10.254155303605305</v>
      </c>
      <c r="G48" s="264">
        <v>78.15909918319484</v>
      </c>
      <c r="H48" s="264">
        <v>228.25573551319991</v>
      </c>
      <c r="I48" s="264">
        <v>0</v>
      </c>
      <c r="J48" s="264">
        <v>52.52954000000004</v>
      </c>
      <c r="K48" s="264">
        <v>-0.90523999999999072</v>
      </c>
      <c r="L48" s="264">
        <v>0</v>
      </c>
      <c r="M48" s="264">
        <v>-39.57409999999998</v>
      </c>
      <c r="N48" s="264">
        <v>0</v>
      </c>
    </row>
    <row r="49" spans="2:14" s="4" customFormat="1" ht="12.75" customHeight="1" x14ac:dyDescent="0.25">
      <c r="C49" s="223" t="s">
        <v>352</v>
      </c>
      <c r="D49" s="254" t="s">
        <v>322</v>
      </c>
      <c r="E49" s="254" t="s">
        <v>56</v>
      </c>
      <c r="F49" s="264">
        <v>0</v>
      </c>
      <c r="G49" s="264">
        <v>0</v>
      </c>
      <c r="H49" s="264">
        <v>312.63601</v>
      </c>
      <c r="I49" s="264">
        <v>60.985669999999985</v>
      </c>
      <c r="J49" s="264">
        <v>0</v>
      </c>
      <c r="K49" s="264">
        <v>201.63208000000003</v>
      </c>
      <c r="L49" s="264">
        <v>-373.62168000000003</v>
      </c>
      <c r="M49" s="264">
        <v>0</v>
      </c>
      <c r="N49" s="264">
        <v>0</v>
      </c>
    </row>
    <row r="50" spans="2:14" s="4" customFormat="1" ht="12.75" customHeight="1" collapsed="1" x14ac:dyDescent="0.25">
      <c r="F50" s="8"/>
      <c r="G50" s="205"/>
      <c r="H50" s="205"/>
      <c r="I50" s="205"/>
      <c r="J50" s="64"/>
      <c r="K50" s="205"/>
      <c r="L50" s="205"/>
      <c r="M50" s="205"/>
      <c r="N50" s="205"/>
    </row>
    <row r="51" spans="2:14" s="4" customFormat="1" ht="12.75" customHeight="1" x14ac:dyDescent="0.3">
      <c r="B51" s="7" t="s">
        <v>353</v>
      </c>
      <c r="C51" s="7"/>
      <c r="D51" s="243"/>
      <c r="E51" s="243"/>
      <c r="F51" s="70"/>
      <c r="G51" s="70"/>
      <c r="H51" s="70"/>
      <c r="I51" s="70"/>
      <c r="J51" s="70"/>
      <c r="K51" s="70"/>
      <c r="L51" s="70"/>
      <c r="M51" s="70"/>
      <c r="N51" s="70"/>
    </row>
    <row r="52" spans="2:14" s="4" customFormat="1" ht="12.75" customHeight="1" x14ac:dyDescent="0.3">
      <c r="B52" s="7"/>
      <c r="C52" s="4" t="s">
        <v>354</v>
      </c>
      <c r="D52" s="6" t="s">
        <v>322</v>
      </c>
      <c r="E52" s="6" t="s">
        <v>56</v>
      </c>
      <c r="F52" s="267">
        <v>0</v>
      </c>
      <c r="G52" s="267">
        <v>0</v>
      </c>
      <c r="H52" s="267">
        <v>0</v>
      </c>
      <c r="I52" s="267">
        <v>0</v>
      </c>
      <c r="J52" s="253">
        <v>68817.850000000006</v>
      </c>
      <c r="K52" s="253">
        <v>-1387.7157400000096</v>
      </c>
      <c r="L52" s="267">
        <v>0</v>
      </c>
      <c r="M52" s="267">
        <v>0</v>
      </c>
      <c r="N52" s="267">
        <v>0</v>
      </c>
    </row>
    <row r="53" spans="2:14" s="4" customFormat="1" ht="12.75" customHeight="1" x14ac:dyDescent="0.3">
      <c r="B53" s="7"/>
      <c r="C53" s="4" t="s">
        <v>355</v>
      </c>
      <c r="D53" s="6" t="s">
        <v>322</v>
      </c>
      <c r="E53" s="6" t="s">
        <v>56</v>
      </c>
      <c r="F53" s="267">
        <v>0</v>
      </c>
      <c r="G53" s="267">
        <v>0</v>
      </c>
      <c r="H53" s="267">
        <v>0</v>
      </c>
      <c r="I53" s="267">
        <v>0</v>
      </c>
      <c r="J53" s="253">
        <v>0</v>
      </c>
      <c r="K53" s="253">
        <v>56322.161</v>
      </c>
      <c r="L53" s="267">
        <v>0</v>
      </c>
      <c r="M53" s="267">
        <v>0</v>
      </c>
      <c r="N53" s="267">
        <v>0</v>
      </c>
    </row>
    <row r="54" spans="2:14" s="4" customFormat="1" ht="12.75" customHeight="1" x14ac:dyDescent="0.3">
      <c r="B54" s="7"/>
      <c r="C54" s="4" t="s">
        <v>356</v>
      </c>
      <c r="D54" s="6" t="s">
        <v>322</v>
      </c>
      <c r="E54" s="6" t="s">
        <v>56</v>
      </c>
      <c r="F54" s="267">
        <v>0</v>
      </c>
      <c r="G54" s="267">
        <v>0</v>
      </c>
      <c r="H54" s="267">
        <v>0</v>
      </c>
      <c r="I54" s="267">
        <v>0</v>
      </c>
      <c r="J54" s="253">
        <v>5110.7187800000002</v>
      </c>
      <c r="K54" s="253">
        <v>0</v>
      </c>
      <c r="L54" s="267">
        <v>0</v>
      </c>
      <c r="M54" s="267">
        <v>0</v>
      </c>
      <c r="N54" s="267">
        <v>0</v>
      </c>
    </row>
    <row r="55" spans="2:14" s="4" customFormat="1" ht="12.75" customHeight="1" x14ac:dyDescent="0.3">
      <c r="B55" s="7"/>
      <c r="C55" s="4" t="s">
        <v>357</v>
      </c>
      <c r="D55" s="6" t="s">
        <v>322</v>
      </c>
      <c r="E55" s="6" t="s">
        <v>56</v>
      </c>
      <c r="F55" s="267">
        <v>0</v>
      </c>
      <c r="G55" s="267">
        <v>0</v>
      </c>
      <c r="H55" s="267">
        <v>0</v>
      </c>
      <c r="I55" s="267">
        <v>0</v>
      </c>
      <c r="J55" s="253">
        <v>0</v>
      </c>
      <c r="K55" s="253">
        <v>11316.574369999998</v>
      </c>
      <c r="L55" s="267">
        <v>0</v>
      </c>
      <c r="M55" s="267">
        <v>0</v>
      </c>
      <c r="N55" s="267">
        <v>0</v>
      </c>
    </row>
    <row r="56" spans="2:14" s="4" customFormat="1" ht="12.75" customHeight="1" x14ac:dyDescent="0.3">
      <c r="B56" s="7"/>
      <c r="C56" s="4" t="s">
        <v>358</v>
      </c>
      <c r="D56" s="6" t="s">
        <v>322</v>
      </c>
      <c r="E56" s="6" t="s">
        <v>56</v>
      </c>
      <c r="F56" s="267">
        <v>0</v>
      </c>
      <c r="G56" s="267">
        <v>0</v>
      </c>
      <c r="H56" s="267">
        <v>0</v>
      </c>
      <c r="I56" s="267">
        <v>0</v>
      </c>
      <c r="J56" s="253">
        <v>14251.683230000001</v>
      </c>
      <c r="K56" s="253">
        <v>-249.45109999999963</v>
      </c>
      <c r="L56" s="267">
        <v>0</v>
      </c>
      <c r="M56" s="267">
        <v>0</v>
      </c>
      <c r="N56" s="267">
        <v>0</v>
      </c>
    </row>
    <row r="57" spans="2:14" s="4" customFormat="1" ht="12.75" customHeight="1" x14ac:dyDescent="0.3">
      <c r="B57" s="7"/>
      <c r="C57" s="4" t="s">
        <v>359</v>
      </c>
      <c r="D57" s="6" t="s">
        <v>322</v>
      </c>
      <c r="E57" s="6" t="s">
        <v>56</v>
      </c>
      <c r="F57" s="267">
        <v>0</v>
      </c>
      <c r="G57" s="267">
        <v>0</v>
      </c>
      <c r="H57" s="267">
        <v>0</v>
      </c>
      <c r="I57" s="267">
        <v>0</v>
      </c>
      <c r="J57" s="253">
        <v>0</v>
      </c>
      <c r="K57" s="253">
        <v>53.443010000000001</v>
      </c>
      <c r="L57" s="267">
        <v>0</v>
      </c>
      <c r="M57" s="267">
        <v>0</v>
      </c>
      <c r="N57" s="267">
        <v>0</v>
      </c>
    </row>
    <row r="58" spans="2:14" s="4" customFormat="1" ht="12.75" customHeight="1" x14ac:dyDescent="0.3">
      <c r="B58" s="7"/>
      <c r="C58" s="4" t="s">
        <v>360</v>
      </c>
      <c r="D58" s="6" t="s">
        <v>322</v>
      </c>
      <c r="E58" s="6" t="s">
        <v>56</v>
      </c>
      <c r="F58" s="267">
        <v>0</v>
      </c>
      <c r="G58" s="267">
        <v>0</v>
      </c>
      <c r="H58" s="267">
        <v>0</v>
      </c>
      <c r="I58" s="267">
        <v>0</v>
      </c>
      <c r="J58" s="253">
        <v>1248.26361</v>
      </c>
      <c r="K58" s="253">
        <v>0</v>
      </c>
      <c r="L58" s="267">
        <v>0</v>
      </c>
      <c r="M58" s="267">
        <v>0</v>
      </c>
      <c r="N58" s="267">
        <v>0</v>
      </c>
    </row>
    <row r="59" spans="2:14" s="4" customFormat="1" ht="12.75" customHeight="1" x14ac:dyDescent="0.3">
      <c r="B59" s="7"/>
      <c r="C59" s="4" t="s">
        <v>361</v>
      </c>
      <c r="D59" s="6" t="s">
        <v>322</v>
      </c>
      <c r="E59" s="6" t="s">
        <v>56</v>
      </c>
      <c r="F59" s="267">
        <v>0</v>
      </c>
      <c r="G59" s="267">
        <v>0</v>
      </c>
      <c r="H59" s="267">
        <v>0</v>
      </c>
      <c r="I59" s="267">
        <v>0</v>
      </c>
      <c r="J59" s="253">
        <v>255.19564</v>
      </c>
      <c r="K59" s="253">
        <v>0</v>
      </c>
      <c r="L59" s="267">
        <v>0</v>
      </c>
      <c r="M59" s="267">
        <v>0</v>
      </c>
      <c r="N59" s="267">
        <v>0</v>
      </c>
    </row>
    <row r="60" spans="2:14" s="4" customFormat="1" ht="12.75" customHeight="1" x14ac:dyDescent="0.3">
      <c r="B60" s="7"/>
      <c r="C60" s="4" t="s">
        <v>362</v>
      </c>
      <c r="D60" s="6" t="s">
        <v>322</v>
      </c>
      <c r="E60" s="6" t="s">
        <v>56</v>
      </c>
      <c r="F60" s="267">
        <v>0</v>
      </c>
      <c r="G60" s="267">
        <v>0</v>
      </c>
      <c r="H60" s="267">
        <v>0</v>
      </c>
      <c r="I60" s="267">
        <v>0</v>
      </c>
      <c r="J60" s="253">
        <v>329.42184000000003</v>
      </c>
      <c r="K60" s="253">
        <v>0</v>
      </c>
      <c r="L60" s="267">
        <v>0</v>
      </c>
      <c r="M60" s="267">
        <v>0</v>
      </c>
      <c r="N60" s="267">
        <v>0</v>
      </c>
    </row>
    <row r="61" spans="2:14" s="4" customFormat="1" ht="12.75" customHeight="1" x14ac:dyDescent="0.3">
      <c r="B61" s="7"/>
      <c r="C61" s="4" t="s">
        <v>363</v>
      </c>
      <c r="D61" s="6" t="s">
        <v>322</v>
      </c>
      <c r="E61" s="6" t="s">
        <v>56</v>
      </c>
      <c r="F61" s="267">
        <v>0</v>
      </c>
      <c r="G61" s="267">
        <v>0</v>
      </c>
      <c r="H61" s="267">
        <v>0</v>
      </c>
      <c r="I61" s="267">
        <v>0</v>
      </c>
      <c r="J61" s="267">
        <v>0</v>
      </c>
      <c r="K61" s="253">
        <v>56328.799070000001</v>
      </c>
      <c r="L61" s="267">
        <v>0</v>
      </c>
      <c r="M61" s="267">
        <v>0</v>
      </c>
      <c r="N61" s="267">
        <v>0</v>
      </c>
    </row>
    <row r="62" spans="2:14" s="4" customFormat="1" ht="12.75" customHeight="1" x14ac:dyDescent="0.3">
      <c r="B62" s="7"/>
      <c r="C62" s="4" t="s">
        <v>364</v>
      </c>
      <c r="D62" s="6" t="s">
        <v>322</v>
      </c>
      <c r="E62" s="6" t="s">
        <v>56</v>
      </c>
      <c r="F62" s="267">
        <v>0</v>
      </c>
      <c r="G62" s="267">
        <v>0</v>
      </c>
      <c r="H62" s="267">
        <v>0</v>
      </c>
      <c r="I62" s="267">
        <v>0</v>
      </c>
      <c r="J62" s="267">
        <v>0</v>
      </c>
      <c r="K62" s="253">
        <v>2467.973</v>
      </c>
      <c r="L62" s="267">
        <v>0</v>
      </c>
      <c r="M62" s="267">
        <v>0</v>
      </c>
      <c r="N62" s="267">
        <v>0</v>
      </c>
    </row>
    <row r="63" spans="2:14" s="4" customFormat="1" ht="12.75" customHeight="1" x14ac:dyDescent="0.3">
      <c r="B63" s="7"/>
      <c r="C63" s="4" t="s">
        <v>365</v>
      </c>
      <c r="D63" s="6" t="s">
        <v>322</v>
      </c>
      <c r="E63" s="6" t="s">
        <v>56</v>
      </c>
      <c r="F63" s="267">
        <v>0</v>
      </c>
      <c r="G63" s="267">
        <v>0</v>
      </c>
      <c r="H63" s="267">
        <v>0</v>
      </c>
      <c r="I63" s="267">
        <v>0</v>
      </c>
      <c r="J63" s="267">
        <v>0</v>
      </c>
      <c r="K63" s="253">
        <v>6932.5896600000005</v>
      </c>
      <c r="L63" s="267">
        <v>0</v>
      </c>
      <c r="M63" s="267">
        <v>0</v>
      </c>
      <c r="N63" s="267">
        <v>0</v>
      </c>
    </row>
    <row r="64" spans="2:14" s="4" customFormat="1" ht="12.75" customHeight="1" x14ac:dyDescent="0.3">
      <c r="B64" s="7"/>
      <c r="C64" s="4" t="s">
        <v>366</v>
      </c>
      <c r="D64" s="6" t="s">
        <v>322</v>
      </c>
      <c r="E64" s="6" t="s">
        <v>56</v>
      </c>
      <c r="F64" s="267">
        <v>0</v>
      </c>
      <c r="G64" s="267">
        <v>0</v>
      </c>
      <c r="H64" s="267">
        <v>0</v>
      </c>
      <c r="I64" s="267">
        <v>0</v>
      </c>
      <c r="J64" s="267">
        <v>0</v>
      </c>
      <c r="K64" s="253">
        <v>2405.0385499999998</v>
      </c>
      <c r="L64" s="267">
        <v>0</v>
      </c>
      <c r="M64" s="267">
        <v>0</v>
      </c>
      <c r="N64" s="267">
        <v>0</v>
      </c>
    </row>
    <row r="65" spans="2:14" s="4" customFormat="1" ht="12.75" customHeight="1" x14ac:dyDescent="0.3">
      <c r="B65" s="7"/>
      <c r="C65" s="4" t="s">
        <v>367</v>
      </c>
      <c r="D65" s="6" t="s">
        <v>322</v>
      </c>
      <c r="E65" s="6" t="s">
        <v>56</v>
      </c>
      <c r="F65" s="267">
        <v>0</v>
      </c>
      <c r="G65" s="267">
        <v>0</v>
      </c>
      <c r="H65" s="267">
        <v>0</v>
      </c>
      <c r="I65" s="267">
        <v>0</v>
      </c>
      <c r="J65" s="267">
        <v>0</v>
      </c>
      <c r="K65" s="253">
        <v>18772.515599999999</v>
      </c>
      <c r="L65" s="267">
        <v>0</v>
      </c>
      <c r="M65" s="267">
        <v>0</v>
      </c>
      <c r="N65" s="267">
        <v>0</v>
      </c>
    </row>
    <row r="66" spans="2:14" s="4" customFormat="1" ht="12.75" customHeight="1" x14ac:dyDescent="0.3">
      <c r="B66" s="7"/>
      <c r="C66" s="4" t="s">
        <v>368</v>
      </c>
      <c r="D66" s="6" t="s">
        <v>322</v>
      </c>
      <c r="E66" s="6" t="s">
        <v>56</v>
      </c>
      <c r="F66" s="267">
        <v>0</v>
      </c>
      <c r="G66" s="267">
        <v>0</v>
      </c>
      <c r="H66" s="267">
        <v>0</v>
      </c>
      <c r="I66" s="267">
        <v>0</v>
      </c>
      <c r="J66" s="267">
        <v>0</v>
      </c>
      <c r="K66" s="253">
        <v>10200.742259999999</v>
      </c>
      <c r="L66" s="267">
        <v>0</v>
      </c>
      <c r="M66" s="267">
        <v>0</v>
      </c>
      <c r="N66" s="267">
        <v>0</v>
      </c>
    </row>
    <row r="67" spans="2:14" s="4" customFormat="1" ht="12.75" customHeight="1" x14ac:dyDescent="0.3">
      <c r="B67" s="7"/>
      <c r="C67" s="4" t="s">
        <v>369</v>
      </c>
      <c r="D67" s="6" t="s">
        <v>322</v>
      </c>
      <c r="E67" s="6" t="s">
        <v>56</v>
      </c>
      <c r="F67" s="267">
        <v>0</v>
      </c>
      <c r="G67" s="267">
        <v>0</v>
      </c>
      <c r="H67" s="267">
        <v>0</v>
      </c>
      <c r="I67" s="267">
        <v>0</v>
      </c>
      <c r="J67" s="267">
        <v>0</v>
      </c>
      <c r="K67" s="253">
        <v>1593.2091699999999</v>
      </c>
      <c r="L67" s="267">
        <v>0</v>
      </c>
      <c r="M67" s="267">
        <v>0</v>
      </c>
      <c r="N67" s="267">
        <v>0</v>
      </c>
    </row>
    <row r="68" spans="2:14" s="4" customFormat="1" ht="12.75" customHeight="1" x14ac:dyDescent="0.3">
      <c r="B68" s="7"/>
      <c r="C68" s="4" t="s">
        <v>370</v>
      </c>
      <c r="D68" s="6" t="s">
        <v>322</v>
      </c>
      <c r="E68" s="6" t="s">
        <v>56</v>
      </c>
      <c r="F68" s="267">
        <v>0</v>
      </c>
      <c r="G68" s="267">
        <v>0</v>
      </c>
      <c r="H68" s="267">
        <v>0</v>
      </c>
      <c r="I68" s="267">
        <v>0</v>
      </c>
      <c r="J68" s="267">
        <v>0</v>
      </c>
      <c r="K68" s="253">
        <v>10641.089379999999</v>
      </c>
      <c r="L68" s="267">
        <v>0</v>
      </c>
      <c r="M68" s="267">
        <v>0</v>
      </c>
      <c r="N68" s="267">
        <v>0</v>
      </c>
    </row>
    <row r="69" spans="2:14" s="4" customFormat="1" ht="12.75" customHeight="1" x14ac:dyDescent="0.3">
      <c r="B69" s="7"/>
      <c r="C69" s="4" t="s">
        <v>371</v>
      </c>
      <c r="D69" s="6" t="s">
        <v>322</v>
      </c>
      <c r="E69" s="6" t="s">
        <v>56</v>
      </c>
      <c r="F69" s="267">
        <v>0</v>
      </c>
      <c r="G69" s="267">
        <v>0</v>
      </c>
      <c r="H69" s="267">
        <v>0</v>
      </c>
      <c r="I69" s="267">
        <v>0</v>
      </c>
      <c r="J69" s="267">
        <v>0</v>
      </c>
      <c r="K69" s="253">
        <v>23811.76208</v>
      </c>
      <c r="L69" s="267">
        <v>0</v>
      </c>
      <c r="M69" s="267">
        <v>0</v>
      </c>
      <c r="N69" s="267">
        <v>0</v>
      </c>
    </row>
    <row r="70" spans="2:14" s="4" customFormat="1" ht="12.75" customHeight="1" x14ac:dyDescent="0.3">
      <c r="B70" s="7"/>
      <c r="C70" s="4" t="s">
        <v>372</v>
      </c>
      <c r="D70" s="6" t="s">
        <v>322</v>
      </c>
      <c r="E70" s="6" t="s">
        <v>56</v>
      </c>
      <c r="F70" s="267">
        <v>0</v>
      </c>
      <c r="G70" s="267">
        <v>0</v>
      </c>
      <c r="H70" s="267">
        <v>0</v>
      </c>
      <c r="I70" s="267">
        <v>0</v>
      </c>
      <c r="J70" s="267">
        <v>0</v>
      </c>
      <c r="K70" s="253">
        <v>13718.82503</v>
      </c>
      <c r="L70" s="267">
        <v>0</v>
      </c>
      <c r="M70" s="267">
        <v>0</v>
      </c>
      <c r="N70" s="267">
        <v>0</v>
      </c>
    </row>
    <row r="71" spans="2:14" s="4" customFormat="1" ht="12.75" customHeight="1" x14ac:dyDescent="0.3">
      <c r="B71" s="7"/>
      <c r="C71" s="4" t="s">
        <v>373</v>
      </c>
      <c r="D71" s="6" t="s">
        <v>322</v>
      </c>
      <c r="E71" s="6" t="s">
        <v>56</v>
      </c>
      <c r="F71" s="267">
        <v>0</v>
      </c>
      <c r="G71" s="267">
        <v>0</v>
      </c>
      <c r="H71" s="267">
        <v>0</v>
      </c>
      <c r="I71" s="267">
        <v>0</v>
      </c>
      <c r="J71" s="267">
        <v>0</v>
      </c>
      <c r="K71" s="267">
        <v>0</v>
      </c>
      <c r="L71" s="253">
        <v>13195.66726</v>
      </c>
      <c r="M71" s="267">
        <v>0</v>
      </c>
      <c r="N71" s="267">
        <v>0</v>
      </c>
    </row>
    <row r="72" spans="2:14" s="4" customFormat="1" ht="12.75" customHeight="1" x14ac:dyDescent="0.3">
      <c r="B72" s="7"/>
      <c r="C72" s="4" t="s">
        <v>408</v>
      </c>
      <c r="D72" s="6" t="s">
        <v>322</v>
      </c>
      <c r="E72" s="6" t="s">
        <v>56</v>
      </c>
      <c r="F72" s="253">
        <v>1775.2873399999999</v>
      </c>
      <c r="G72" s="253">
        <v>-101.39516999999992</v>
      </c>
      <c r="H72" s="253">
        <v>0</v>
      </c>
      <c r="I72" s="253">
        <v>0</v>
      </c>
      <c r="J72" s="253">
        <v>0</v>
      </c>
      <c r="K72" s="253">
        <v>0</v>
      </c>
      <c r="L72" s="253">
        <v>0</v>
      </c>
      <c r="M72" s="253">
        <v>0</v>
      </c>
      <c r="N72" s="253">
        <v>0</v>
      </c>
    </row>
    <row r="73" spans="2:14" s="4" customFormat="1" ht="12.75" customHeight="1" x14ac:dyDescent="0.3">
      <c r="B73" s="7"/>
      <c r="C73" s="4" t="s">
        <v>409</v>
      </c>
      <c r="D73" s="6" t="s">
        <v>322</v>
      </c>
      <c r="E73" s="6" t="s">
        <v>56</v>
      </c>
      <c r="F73" s="253">
        <v>1319.70092639367</v>
      </c>
      <c r="G73" s="253">
        <v>302.11739807757272</v>
      </c>
      <c r="H73" s="253">
        <v>-288.62299447124263</v>
      </c>
      <c r="I73" s="253">
        <v>-26.238730000000213</v>
      </c>
      <c r="J73" s="253">
        <v>0</v>
      </c>
      <c r="K73" s="253">
        <v>0</v>
      </c>
      <c r="L73" s="253">
        <v>0</v>
      </c>
      <c r="M73" s="253">
        <v>0</v>
      </c>
      <c r="N73" s="253">
        <v>0</v>
      </c>
    </row>
    <row r="74" spans="2:14" s="4" customFormat="1" ht="12.75" customHeight="1" x14ac:dyDescent="0.3">
      <c r="B74" s="7"/>
      <c r="C74" s="4" t="s">
        <v>410</v>
      </c>
      <c r="D74" s="6" t="s">
        <v>322</v>
      </c>
      <c r="E74" s="6" t="s">
        <v>56</v>
      </c>
      <c r="F74" s="253">
        <v>9.46875</v>
      </c>
      <c r="G74" s="253">
        <v>0</v>
      </c>
      <c r="H74" s="253">
        <v>0</v>
      </c>
      <c r="I74" s="253">
        <v>0</v>
      </c>
      <c r="J74" s="253">
        <v>0</v>
      </c>
      <c r="K74" s="253">
        <v>0</v>
      </c>
      <c r="L74" s="253">
        <v>0</v>
      </c>
      <c r="M74" s="253">
        <v>0</v>
      </c>
      <c r="N74" s="253">
        <v>0</v>
      </c>
    </row>
    <row r="75" spans="2:14" s="4" customFormat="1" ht="12.75" customHeight="1" x14ac:dyDescent="0.3">
      <c r="B75" s="7"/>
      <c r="C75" s="4" t="s">
        <v>411</v>
      </c>
      <c r="D75" s="6" t="s">
        <v>322</v>
      </c>
      <c r="E75" s="6" t="s">
        <v>56</v>
      </c>
      <c r="F75" s="253">
        <v>0</v>
      </c>
      <c r="G75" s="253">
        <v>1262.587908568476</v>
      </c>
      <c r="H75" s="253">
        <v>-561.81857856847603</v>
      </c>
      <c r="I75" s="253">
        <v>316.0537599999999</v>
      </c>
      <c r="J75" s="253">
        <v>638.18461000000025</v>
      </c>
      <c r="K75" s="253">
        <v>2533.8599699999995</v>
      </c>
      <c r="L75" s="253">
        <v>27.221259999999777</v>
      </c>
      <c r="M75" s="253">
        <v>0</v>
      </c>
      <c r="N75" s="253">
        <v>28.864230000000447</v>
      </c>
    </row>
    <row r="76" spans="2:14" s="4" customFormat="1" ht="12.75" customHeight="1" x14ac:dyDescent="0.3">
      <c r="B76" s="7"/>
      <c r="C76" s="4" t="s">
        <v>129</v>
      </c>
      <c r="D76" s="6" t="s">
        <v>322</v>
      </c>
      <c r="E76" s="6" t="s">
        <v>56</v>
      </c>
      <c r="F76" s="253">
        <v>0</v>
      </c>
      <c r="G76" s="253">
        <v>0</v>
      </c>
      <c r="H76" s="253">
        <v>0</v>
      </c>
      <c r="I76" s="253">
        <v>109.12603999999999</v>
      </c>
      <c r="J76" s="253">
        <v>0</v>
      </c>
      <c r="K76" s="253">
        <v>0</v>
      </c>
      <c r="L76" s="253">
        <v>-31.418569999999992</v>
      </c>
      <c r="M76" s="253">
        <v>0</v>
      </c>
      <c r="N76" s="253">
        <v>0</v>
      </c>
    </row>
    <row r="77" spans="2:14" s="4" customFormat="1" ht="12.75" customHeight="1" x14ac:dyDescent="0.3">
      <c r="B77" s="7"/>
      <c r="C77" s="4" t="s">
        <v>412</v>
      </c>
      <c r="D77" s="6" t="s">
        <v>322</v>
      </c>
      <c r="E77" s="6" t="s">
        <v>56</v>
      </c>
      <c r="F77" s="253">
        <v>0</v>
      </c>
      <c r="G77" s="253">
        <v>0</v>
      </c>
      <c r="H77" s="253">
        <v>0</v>
      </c>
      <c r="I77" s="253">
        <v>0</v>
      </c>
      <c r="J77" s="253">
        <v>1382.2803699999999</v>
      </c>
      <c r="K77" s="253">
        <v>488.13294000000019</v>
      </c>
      <c r="L77" s="253">
        <v>0</v>
      </c>
      <c r="M77" s="253">
        <v>514.19974999999954</v>
      </c>
      <c r="N77" s="253">
        <v>0</v>
      </c>
    </row>
    <row r="78" spans="2:14" s="4" customFormat="1" ht="12.75" customHeight="1" x14ac:dyDescent="0.3">
      <c r="B78" s="7"/>
      <c r="C78" s="4" t="s">
        <v>413</v>
      </c>
      <c r="D78" s="6" t="s">
        <v>322</v>
      </c>
      <c r="E78" s="6" t="s">
        <v>56</v>
      </c>
      <c r="F78" s="253">
        <v>0</v>
      </c>
      <c r="G78" s="253">
        <v>0</v>
      </c>
      <c r="H78" s="253">
        <v>0</v>
      </c>
      <c r="I78" s="253">
        <v>0</v>
      </c>
      <c r="J78" s="253">
        <v>0</v>
      </c>
      <c r="K78" s="253">
        <v>5502.9752900000003</v>
      </c>
      <c r="L78" s="253">
        <v>0</v>
      </c>
      <c r="M78" s="253">
        <v>0</v>
      </c>
      <c r="N78" s="253">
        <v>0</v>
      </c>
    </row>
    <row r="79" spans="2:14" s="4" customFormat="1" ht="12.75" customHeight="1" x14ac:dyDescent="0.3">
      <c r="B79" s="7"/>
      <c r="C79" s="4" t="s">
        <v>414</v>
      </c>
      <c r="D79" s="6" t="s">
        <v>322</v>
      </c>
      <c r="E79" s="6" t="s">
        <v>56</v>
      </c>
      <c r="F79" s="253">
        <v>0</v>
      </c>
      <c r="G79" s="253">
        <v>0</v>
      </c>
      <c r="H79" s="253">
        <v>0</v>
      </c>
      <c r="I79" s="253">
        <v>0</v>
      </c>
      <c r="J79" s="253">
        <v>0</v>
      </c>
      <c r="K79" s="253">
        <v>232.84729999999999</v>
      </c>
      <c r="L79" s="253">
        <v>0</v>
      </c>
      <c r="M79" s="253">
        <v>0</v>
      </c>
      <c r="N79" s="253">
        <v>0</v>
      </c>
    </row>
    <row r="80" spans="2:14" s="4" customFormat="1" ht="12.75" customHeight="1" x14ac:dyDescent="0.3">
      <c r="B80" s="7"/>
      <c r="C80" s="4" t="s">
        <v>415</v>
      </c>
      <c r="D80" s="6" t="s">
        <v>322</v>
      </c>
      <c r="E80" s="6" t="s">
        <v>56</v>
      </c>
      <c r="F80" s="253">
        <v>0</v>
      </c>
      <c r="G80" s="253">
        <v>0</v>
      </c>
      <c r="H80" s="253">
        <v>0</v>
      </c>
      <c r="I80" s="253">
        <v>0</v>
      </c>
      <c r="J80" s="253">
        <v>0</v>
      </c>
      <c r="K80" s="253">
        <v>2381.8366099999998</v>
      </c>
      <c r="L80" s="253">
        <v>0</v>
      </c>
      <c r="M80" s="253">
        <v>0</v>
      </c>
      <c r="N80" s="253">
        <v>0</v>
      </c>
    </row>
    <row r="81" spans="2:14" s="4" customFormat="1" ht="12.75" customHeight="1" x14ac:dyDescent="0.3">
      <c r="B81" s="7"/>
      <c r="C81" s="4" t="s">
        <v>416</v>
      </c>
      <c r="D81" s="6" t="s">
        <v>322</v>
      </c>
      <c r="E81" s="6" t="s">
        <v>56</v>
      </c>
      <c r="F81" s="253">
        <v>0</v>
      </c>
      <c r="G81" s="253">
        <v>0</v>
      </c>
      <c r="H81" s="253">
        <v>0</v>
      </c>
      <c r="I81" s="253">
        <v>0</v>
      </c>
      <c r="J81" s="253">
        <v>0</v>
      </c>
      <c r="K81" s="253">
        <v>363.42553000000004</v>
      </c>
      <c r="L81" s="253">
        <v>0</v>
      </c>
      <c r="M81" s="253">
        <v>0</v>
      </c>
      <c r="N81" s="253">
        <v>0</v>
      </c>
    </row>
    <row r="82" spans="2:14" s="4" customFormat="1" ht="12.75" customHeight="1" x14ac:dyDescent="0.3">
      <c r="B82" s="7"/>
      <c r="C82" s="4" t="s">
        <v>417</v>
      </c>
      <c r="D82" s="6" t="s">
        <v>322</v>
      </c>
      <c r="E82" s="6" t="s">
        <v>56</v>
      </c>
      <c r="F82" s="253">
        <v>0</v>
      </c>
      <c r="G82" s="253">
        <v>0</v>
      </c>
      <c r="H82" s="253">
        <v>0</v>
      </c>
      <c r="I82" s="253">
        <v>0</v>
      </c>
      <c r="J82" s="253">
        <v>0</v>
      </c>
      <c r="K82" s="253">
        <v>5.35806</v>
      </c>
      <c r="L82" s="253">
        <v>0</v>
      </c>
      <c r="M82" s="253">
        <v>0</v>
      </c>
      <c r="N82" s="253">
        <v>0</v>
      </c>
    </row>
    <row r="83" spans="2:14" s="4" customFormat="1" ht="12.75" customHeight="1" x14ac:dyDescent="0.25">
      <c r="C83" s="4" t="s">
        <v>418</v>
      </c>
      <c r="D83" s="6" t="s">
        <v>322</v>
      </c>
      <c r="E83" s="6" t="s">
        <v>56</v>
      </c>
      <c r="F83" s="253">
        <v>0</v>
      </c>
      <c r="G83" s="253">
        <v>0</v>
      </c>
      <c r="H83" s="253">
        <v>0</v>
      </c>
      <c r="I83" s="253">
        <v>0</v>
      </c>
      <c r="J83" s="253">
        <v>0</v>
      </c>
      <c r="K83" s="253">
        <v>291.54576000000003</v>
      </c>
      <c r="L83" s="253">
        <v>0</v>
      </c>
      <c r="M83" s="253">
        <v>0</v>
      </c>
      <c r="N83" s="253">
        <v>0</v>
      </c>
    </row>
    <row r="84" spans="2:14" s="4" customFormat="1" ht="12.75" customHeight="1" x14ac:dyDescent="0.25">
      <c r="C84" s="4" t="s">
        <v>419</v>
      </c>
      <c r="D84" s="6" t="s">
        <v>322</v>
      </c>
      <c r="E84" s="6" t="s">
        <v>56</v>
      </c>
      <c r="F84" s="253">
        <v>0</v>
      </c>
      <c r="G84" s="253">
        <v>0</v>
      </c>
      <c r="H84" s="253">
        <v>0</v>
      </c>
      <c r="I84" s="253">
        <v>0</v>
      </c>
      <c r="J84" s="253">
        <v>0</v>
      </c>
      <c r="K84" s="253">
        <v>1260.7357299999999</v>
      </c>
      <c r="L84" s="253">
        <v>0</v>
      </c>
      <c r="M84" s="253">
        <v>0</v>
      </c>
      <c r="N84" s="253">
        <v>0</v>
      </c>
    </row>
    <row r="85" spans="2:14" s="4" customFormat="1" ht="12.75" customHeight="1" x14ac:dyDescent="0.25">
      <c r="C85" s="4" t="s">
        <v>420</v>
      </c>
      <c r="D85" s="6" t="s">
        <v>322</v>
      </c>
      <c r="E85" s="6" t="s">
        <v>56</v>
      </c>
      <c r="F85" s="253">
        <v>0</v>
      </c>
      <c r="G85" s="253">
        <v>0</v>
      </c>
      <c r="H85" s="253">
        <v>0</v>
      </c>
      <c r="I85" s="253">
        <v>0</v>
      </c>
      <c r="J85" s="253">
        <v>0</v>
      </c>
      <c r="K85" s="253">
        <v>25</v>
      </c>
      <c r="L85" s="253">
        <v>0</v>
      </c>
      <c r="M85" s="253">
        <v>0</v>
      </c>
      <c r="N85" s="253">
        <v>0</v>
      </c>
    </row>
    <row r="86" spans="2:14" s="4" customFormat="1" ht="12.75" customHeight="1" x14ac:dyDescent="0.25">
      <c r="C86" s="4" t="s">
        <v>421</v>
      </c>
      <c r="D86" s="6" t="s">
        <v>322</v>
      </c>
      <c r="E86" s="6" t="s">
        <v>56</v>
      </c>
      <c r="F86" s="253">
        <v>0</v>
      </c>
      <c r="G86" s="253">
        <v>0</v>
      </c>
      <c r="H86" s="253">
        <v>0</v>
      </c>
      <c r="I86" s="253">
        <v>0</v>
      </c>
      <c r="J86" s="253">
        <v>0</v>
      </c>
      <c r="K86" s="253">
        <v>53.954300000000003</v>
      </c>
      <c r="L86" s="253">
        <v>0</v>
      </c>
      <c r="M86" s="253">
        <v>0</v>
      </c>
      <c r="N86" s="253">
        <v>0</v>
      </c>
    </row>
    <row r="87" spans="2:14" s="4" customFormat="1" ht="12.75" customHeight="1" x14ac:dyDescent="0.25">
      <c r="C87" s="4" t="s">
        <v>422</v>
      </c>
      <c r="D87" s="6" t="s">
        <v>322</v>
      </c>
      <c r="E87" s="6" t="s">
        <v>56</v>
      </c>
      <c r="F87" s="253">
        <v>0</v>
      </c>
      <c r="G87" s="253">
        <v>0</v>
      </c>
      <c r="H87" s="253">
        <v>0</v>
      </c>
      <c r="I87" s="253">
        <v>0</v>
      </c>
      <c r="J87" s="253">
        <v>0</v>
      </c>
      <c r="K87" s="253">
        <v>2450.2863900000002</v>
      </c>
      <c r="L87" s="253">
        <v>0</v>
      </c>
      <c r="M87" s="253">
        <v>0</v>
      </c>
      <c r="N87" s="253">
        <v>0</v>
      </c>
    </row>
    <row r="88" spans="2:14" s="4" customFormat="1" ht="12.75" customHeight="1" x14ac:dyDescent="0.25">
      <c r="C88" s="4" t="s">
        <v>423</v>
      </c>
      <c r="D88" s="6" t="s">
        <v>322</v>
      </c>
      <c r="E88" s="6" t="s">
        <v>56</v>
      </c>
      <c r="F88" s="253">
        <v>0</v>
      </c>
      <c r="G88" s="253">
        <v>0</v>
      </c>
      <c r="H88" s="253">
        <v>0</v>
      </c>
      <c r="I88" s="253">
        <v>0</v>
      </c>
      <c r="J88" s="253">
        <v>0</v>
      </c>
      <c r="K88" s="253">
        <v>3682.38645</v>
      </c>
      <c r="L88" s="253">
        <v>0</v>
      </c>
      <c r="M88" s="253">
        <v>0</v>
      </c>
      <c r="N88" s="253">
        <v>0</v>
      </c>
    </row>
    <row r="89" spans="2:14" s="4" customFormat="1" ht="12.75" customHeight="1" x14ac:dyDescent="0.25">
      <c r="C89" s="4" t="s">
        <v>424</v>
      </c>
      <c r="D89" s="6" t="s">
        <v>322</v>
      </c>
      <c r="E89" s="6" t="s">
        <v>56</v>
      </c>
      <c r="F89" s="253">
        <v>0</v>
      </c>
      <c r="G89" s="253">
        <v>0</v>
      </c>
      <c r="H89" s="253">
        <v>0</v>
      </c>
      <c r="I89" s="253">
        <v>0</v>
      </c>
      <c r="J89" s="253">
        <v>0</v>
      </c>
      <c r="K89" s="253">
        <v>1774.5120200000001</v>
      </c>
      <c r="L89" s="253">
        <v>0</v>
      </c>
      <c r="M89" s="253">
        <v>0</v>
      </c>
      <c r="N89" s="253">
        <v>0</v>
      </c>
    </row>
    <row r="90" spans="2:14" s="4" customFormat="1" ht="12.75" customHeight="1" x14ac:dyDescent="0.25">
      <c r="C90" s="4" t="s">
        <v>425</v>
      </c>
      <c r="D90" s="6" t="s">
        <v>322</v>
      </c>
      <c r="E90" s="6" t="s">
        <v>56</v>
      </c>
      <c r="F90" s="253">
        <v>0</v>
      </c>
      <c r="G90" s="253">
        <v>0</v>
      </c>
      <c r="H90" s="253">
        <v>0</v>
      </c>
      <c r="I90" s="253">
        <v>0</v>
      </c>
      <c r="J90" s="253">
        <v>0</v>
      </c>
      <c r="K90" s="253">
        <v>98.928479999999979</v>
      </c>
      <c r="L90" s="253">
        <v>0</v>
      </c>
      <c r="M90" s="253">
        <v>0</v>
      </c>
      <c r="N90" s="253">
        <v>0</v>
      </c>
    </row>
    <row r="91" spans="2:14" s="4" customFormat="1" ht="12.75" customHeight="1" x14ac:dyDescent="0.25">
      <c r="C91" s="4" t="s">
        <v>426</v>
      </c>
      <c r="D91" s="6" t="s">
        <v>322</v>
      </c>
      <c r="E91" s="6" t="s">
        <v>56</v>
      </c>
      <c r="F91" s="253">
        <v>0</v>
      </c>
      <c r="G91" s="253">
        <v>0</v>
      </c>
      <c r="H91" s="253">
        <v>0</v>
      </c>
      <c r="I91" s="253">
        <v>0</v>
      </c>
      <c r="J91" s="253">
        <v>0</v>
      </c>
      <c r="K91" s="253">
        <v>1099.3125199999999</v>
      </c>
      <c r="L91" s="253">
        <v>0</v>
      </c>
      <c r="M91" s="253">
        <v>0</v>
      </c>
      <c r="N91" s="253">
        <v>0</v>
      </c>
    </row>
    <row r="92" spans="2:14" s="4" customFormat="1" ht="12.75" customHeight="1" x14ac:dyDescent="0.25">
      <c r="C92" s="4" t="s">
        <v>427</v>
      </c>
      <c r="D92" s="6" t="s">
        <v>322</v>
      </c>
      <c r="E92" s="6" t="s">
        <v>56</v>
      </c>
      <c r="F92" s="253">
        <v>0</v>
      </c>
      <c r="G92" s="253">
        <v>0</v>
      </c>
      <c r="H92" s="253">
        <v>0</v>
      </c>
      <c r="I92" s="253">
        <v>0</v>
      </c>
      <c r="J92" s="253">
        <v>0</v>
      </c>
      <c r="K92" s="253">
        <v>1022.5224999999999</v>
      </c>
      <c r="L92" s="253">
        <v>0</v>
      </c>
      <c r="M92" s="253">
        <v>0</v>
      </c>
      <c r="N92" s="253">
        <v>0</v>
      </c>
    </row>
    <row r="93" spans="2:14" s="4" customFormat="1" ht="12.75" customHeight="1" x14ac:dyDescent="0.25">
      <c r="C93" s="4" t="s">
        <v>428</v>
      </c>
      <c r="D93" s="6" t="s">
        <v>322</v>
      </c>
      <c r="E93" s="6" t="s">
        <v>56</v>
      </c>
      <c r="F93" s="253">
        <v>0</v>
      </c>
      <c r="G93" s="253">
        <v>0</v>
      </c>
      <c r="H93" s="253">
        <v>0</v>
      </c>
      <c r="I93" s="253">
        <v>0</v>
      </c>
      <c r="J93" s="253">
        <v>0</v>
      </c>
      <c r="K93" s="253">
        <v>834.16380999999978</v>
      </c>
      <c r="L93" s="253">
        <v>0</v>
      </c>
      <c r="M93" s="253">
        <v>0</v>
      </c>
      <c r="N93" s="253">
        <v>0</v>
      </c>
    </row>
    <row r="94" spans="2:14" s="4" customFormat="1" ht="12.75" customHeight="1" x14ac:dyDescent="0.25">
      <c r="C94" s="4" t="s">
        <v>429</v>
      </c>
      <c r="D94" s="6" t="s">
        <v>322</v>
      </c>
      <c r="E94" s="6" t="s">
        <v>56</v>
      </c>
      <c r="F94" s="253">
        <v>0</v>
      </c>
      <c r="G94" s="253">
        <v>0</v>
      </c>
      <c r="H94" s="253">
        <v>0</v>
      </c>
      <c r="I94" s="253">
        <v>0</v>
      </c>
      <c r="J94" s="253">
        <v>0</v>
      </c>
      <c r="K94" s="253">
        <v>1482.5186900000006</v>
      </c>
      <c r="L94" s="253">
        <v>0</v>
      </c>
      <c r="M94" s="253">
        <v>0</v>
      </c>
      <c r="N94" s="253">
        <v>0</v>
      </c>
    </row>
    <row r="95" spans="2:14" s="4" customFormat="1" ht="12.75" customHeight="1" x14ac:dyDescent="0.25">
      <c r="C95" s="4" t="s">
        <v>430</v>
      </c>
      <c r="D95" s="6" t="s">
        <v>322</v>
      </c>
      <c r="E95" s="6" t="s">
        <v>56</v>
      </c>
      <c r="F95" s="253">
        <v>0</v>
      </c>
      <c r="G95" s="253">
        <v>0</v>
      </c>
      <c r="H95" s="253">
        <v>0</v>
      </c>
      <c r="I95" s="253">
        <v>0</v>
      </c>
      <c r="J95" s="253">
        <v>0</v>
      </c>
      <c r="K95" s="253">
        <v>1392.6906499999998</v>
      </c>
      <c r="L95" s="253">
        <v>0</v>
      </c>
      <c r="M95" s="253">
        <v>0</v>
      </c>
      <c r="N95" s="253">
        <v>0</v>
      </c>
    </row>
    <row r="96" spans="2:14" s="4" customFormat="1" ht="12.75" customHeight="1" x14ac:dyDescent="0.25">
      <c r="C96" s="4" t="s">
        <v>431</v>
      </c>
      <c r="D96" s="6" t="s">
        <v>322</v>
      </c>
      <c r="E96" s="6" t="s">
        <v>56</v>
      </c>
      <c r="F96" s="253">
        <v>0</v>
      </c>
      <c r="G96" s="253">
        <v>0</v>
      </c>
      <c r="H96" s="253">
        <v>0</v>
      </c>
      <c r="I96" s="253">
        <v>0</v>
      </c>
      <c r="J96" s="253">
        <v>0</v>
      </c>
      <c r="K96" s="253">
        <v>544.7828300000001</v>
      </c>
      <c r="L96" s="253">
        <v>0</v>
      </c>
      <c r="M96" s="253">
        <v>0</v>
      </c>
      <c r="N96" s="253">
        <v>0</v>
      </c>
    </row>
    <row r="97" spans="3:14" s="4" customFormat="1" ht="12.75" customHeight="1" x14ac:dyDescent="0.25">
      <c r="C97" s="4" t="s">
        <v>432</v>
      </c>
      <c r="D97" s="6" t="s">
        <v>322</v>
      </c>
      <c r="E97" s="6" t="s">
        <v>56</v>
      </c>
      <c r="F97" s="253">
        <v>0</v>
      </c>
      <c r="G97" s="253">
        <v>0</v>
      </c>
      <c r="H97" s="253">
        <v>0</v>
      </c>
      <c r="I97" s="253">
        <v>0</v>
      </c>
      <c r="J97" s="253">
        <v>0</v>
      </c>
      <c r="K97" s="253">
        <v>369.81490000000002</v>
      </c>
      <c r="L97" s="253">
        <v>0</v>
      </c>
      <c r="M97" s="253">
        <v>0</v>
      </c>
      <c r="N97" s="253">
        <v>0</v>
      </c>
    </row>
    <row r="98" spans="3:14" s="4" customFormat="1" ht="12.75" customHeight="1" x14ac:dyDescent="0.25">
      <c r="C98" s="4" t="s">
        <v>433</v>
      </c>
      <c r="D98" s="6" t="s">
        <v>322</v>
      </c>
      <c r="E98" s="6" t="s">
        <v>56</v>
      </c>
      <c r="F98" s="253">
        <v>0</v>
      </c>
      <c r="G98" s="253">
        <v>0</v>
      </c>
      <c r="H98" s="253">
        <v>0</v>
      </c>
      <c r="I98" s="253">
        <v>0</v>
      </c>
      <c r="J98" s="253">
        <v>0</v>
      </c>
      <c r="K98" s="253">
        <v>54.077500000000001</v>
      </c>
      <c r="L98" s="253">
        <v>0</v>
      </c>
      <c r="M98" s="253">
        <v>0</v>
      </c>
      <c r="N98" s="253">
        <v>0</v>
      </c>
    </row>
    <row r="99" spans="3:14" s="4" customFormat="1" ht="12.75" customHeight="1" x14ac:dyDescent="0.25">
      <c r="C99" s="4" t="s">
        <v>434</v>
      </c>
      <c r="D99" s="6" t="s">
        <v>322</v>
      </c>
      <c r="E99" s="6" t="s">
        <v>56</v>
      </c>
      <c r="F99" s="253">
        <v>0</v>
      </c>
      <c r="G99" s="253">
        <v>0</v>
      </c>
      <c r="H99" s="253">
        <v>0</v>
      </c>
      <c r="I99" s="253">
        <v>0</v>
      </c>
      <c r="J99" s="253">
        <v>0</v>
      </c>
      <c r="K99" s="253">
        <v>829.34685000000002</v>
      </c>
      <c r="L99" s="253">
        <v>0</v>
      </c>
      <c r="M99" s="253">
        <v>0</v>
      </c>
      <c r="N99" s="253">
        <v>0</v>
      </c>
    </row>
    <row r="100" spans="3:14" s="4" customFormat="1" ht="12.75" customHeight="1" x14ac:dyDescent="0.25">
      <c r="C100" s="4" t="s">
        <v>435</v>
      </c>
      <c r="D100" s="6" t="s">
        <v>322</v>
      </c>
      <c r="E100" s="6" t="s">
        <v>56</v>
      </c>
      <c r="F100" s="253">
        <v>0</v>
      </c>
      <c r="G100" s="253">
        <v>0</v>
      </c>
      <c r="H100" s="253">
        <v>0</v>
      </c>
      <c r="I100" s="253">
        <v>0</v>
      </c>
      <c r="J100" s="253">
        <v>0</v>
      </c>
      <c r="K100" s="253">
        <v>260.99295999999987</v>
      </c>
      <c r="L100" s="253">
        <v>0</v>
      </c>
      <c r="M100" s="253">
        <v>0</v>
      </c>
      <c r="N100" s="253">
        <v>0</v>
      </c>
    </row>
    <row r="101" spans="3:14" s="4" customFormat="1" ht="12.75" customHeight="1" x14ac:dyDescent="0.25">
      <c r="C101" s="4" t="s">
        <v>436</v>
      </c>
      <c r="D101" s="6" t="s">
        <v>322</v>
      </c>
      <c r="E101" s="6" t="s">
        <v>56</v>
      </c>
      <c r="F101" s="253">
        <v>0</v>
      </c>
      <c r="G101" s="253">
        <v>0</v>
      </c>
      <c r="H101" s="253">
        <v>0</v>
      </c>
      <c r="I101" s="253">
        <v>0</v>
      </c>
      <c r="J101" s="253">
        <v>0</v>
      </c>
      <c r="K101" s="253">
        <v>213.94876000000002</v>
      </c>
      <c r="L101" s="253">
        <v>0</v>
      </c>
      <c r="M101" s="253">
        <v>0</v>
      </c>
      <c r="N101" s="253">
        <v>0</v>
      </c>
    </row>
    <row r="102" spans="3:14" s="4" customFormat="1" ht="12.75" customHeight="1" x14ac:dyDescent="0.25">
      <c r="C102" s="4" t="s">
        <v>437</v>
      </c>
      <c r="D102" s="6" t="s">
        <v>322</v>
      </c>
      <c r="E102" s="6" t="s">
        <v>56</v>
      </c>
      <c r="F102" s="253">
        <v>0</v>
      </c>
      <c r="G102" s="253">
        <v>0</v>
      </c>
      <c r="H102" s="253">
        <v>0</v>
      </c>
      <c r="I102" s="253">
        <v>0</v>
      </c>
      <c r="J102" s="253">
        <v>0</v>
      </c>
      <c r="K102" s="253">
        <v>127.58327</v>
      </c>
      <c r="L102" s="253">
        <v>0</v>
      </c>
      <c r="M102" s="253">
        <v>0</v>
      </c>
      <c r="N102" s="253">
        <v>0</v>
      </c>
    </row>
    <row r="103" spans="3:14" s="4" customFormat="1" ht="12.75" customHeight="1" x14ac:dyDescent="0.25">
      <c r="C103" s="4" t="s">
        <v>438</v>
      </c>
      <c r="D103" s="6" t="s">
        <v>322</v>
      </c>
      <c r="E103" s="6" t="s">
        <v>56</v>
      </c>
      <c r="F103" s="253">
        <v>0</v>
      </c>
      <c r="G103" s="253">
        <v>0</v>
      </c>
      <c r="H103" s="253">
        <v>0</v>
      </c>
      <c r="I103" s="253">
        <v>0</v>
      </c>
      <c r="J103" s="253">
        <v>0</v>
      </c>
      <c r="K103" s="253">
        <v>1322.9923100000001</v>
      </c>
      <c r="L103" s="253">
        <v>0</v>
      </c>
      <c r="M103" s="253">
        <v>0</v>
      </c>
      <c r="N103" s="253">
        <v>0</v>
      </c>
    </row>
    <row r="104" spans="3:14" s="4" customFormat="1" ht="12.75" customHeight="1" x14ac:dyDescent="0.25">
      <c r="C104" s="4" t="s">
        <v>439</v>
      </c>
      <c r="D104" s="6" t="s">
        <v>322</v>
      </c>
      <c r="E104" s="6" t="s">
        <v>56</v>
      </c>
      <c r="F104" s="253">
        <v>0</v>
      </c>
      <c r="G104" s="253">
        <v>0</v>
      </c>
      <c r="H104" s="253">
        <v>0</v>
      </c>
      <c r="I104" s="253">
        <v>0</v>
      </c>
      <c r="J104" s="253">
        <v>0</v>
      </c>
      <c r="K104" s="253">
        <v>10.5</v>
      </c>
      <c r="L104" s="253">
        <v>0</v>
      </c>
      <c r="M104" s="253">
        <v>0</v>
      </c>
      <c r="N104" s="253">
        <v>0</v>
      </c>
    </row>
    <row r="105" spans="3:14" s="4" customFormat="1" ht="12.75" customHeight="1" x14ac:dyDescent="0.25">
      <c r="C105" s="4" t="s">
        <v>440</v>
      </c>
      <c r="D105" s="6" t="s">
        <v>322</v>
      </c>
      <c r="E105" s="6" t="s">
        <v>56</v>
      </c>
      <c r="F105" s="253">
        <v>0</v>
      </c>
      <c r="G105" s="253">
        <v>0</v>
      </c>
      <c r="H105" s="253">
        <v>0</v>
      </c>
      <c r="I105" s="253">
        <v>0</v>
      </c>
      <c r="J105" s="253">
        <v>0</v>
      </c>
      <c r="K105" s="253">
        <v>61.008330000000001</v>
      </c>
      <c r="L105" s="253">
        <v>0</v>
      </c>
      <c r="M105" s="253">
        <v>0</v>
      </c>
      <c r="N105" s="253">
        <v>0</v>
      </c>
    </row>
    <row r="106" spans="3:14" s="4" customFormat="1" ht="12.75" customHeight="1" x14ac:dyDescent="0.25">
      <c r="C106" s="4" t="s">
        <v>441</v>
      </c>
      <c r="D106" s="6" t="s">
        <v>322</v>
      </c>
      <c r="E106" s="6" t="s">
        <v>56</v>
      </c>
      <c r="F106" s="253">
        <v>0</v>
      </c>
      <c r="G106" s="253">
        <v>0</v>
      </c>
      <c r="H106" s="253">
        <v>0</v>
      </c>
      <c r="I106" s="253">
        <v>0</v>
      </c>
      <c r="J106" s="253">
        <v>0</v>
      </c>
      <c r="K106" s="253">
        <v>399.16775999999999</v>
      </c>
      <c r="L106" s="253">
        <v>0</v>
      </c>
      <c r="M106" s="253">
        <v>0</v>
      </c>
      <c r="N106" s="253">
        <v>0</v>
      </c>
    </row>
    <row r="107" spans="3:14" s="4" customFormat="1" ht="12.75" customHeight="1" x14ac:dyDescent="0.25">
      <c r="C107" s="4" t="s">
        <v>442</v>
      </c>
      <c r="D107" s="6" t="s">
        <v>322</v>
      </c>
      <c r="E107" s="6" t="s">
        <v>56</v>
      </c>
      <c r="F107" s="253">
        <v>0</v>
      </c>
      <c r="G107" s="253">
        <v>0</v>
      </c>
      <c r="H107" s="253">
        <v>0</v>
      </c>
      <c r="I107" s="253">
        <v>0</v>
      </c>
      <c r="J107" s="253">
        <v>0</v>
      </c>
      <c r="K107" s="253">
        <v>3105.9148500000001</v>
      </c>
      <c r="L107" s="253">
        <v>0</v>
      </c>
      <c r="M107" s="253">
        <v>0</v>
      </c>
      <c r="N107" s="253">
        <v>0</v>
      </c>
    </row>
    <row r="108" spans="3:14" s="4" customFormat="1" ht="12.75" customHeight="1" x14ac:dyDescent="0.25">
      <c r="C108" s="4" t="s">
        <v>443</v>
      </c>
      <c r="D108" s="6" t="s">
        <v>322</v>
      </c>
      <c r="E108" s="6" t="s">
        <v>56</v>
      </c>
      <c r="F108" s="253">
        <v>0</v>
      </c>
      <c r="G108" s="253">
        <v>0</v>
      </c>
      <c r="H108" s="253">
        <v>0</v>
      </c>
      <c r="I108" s="253">
        <v>0</v>
      </c>
      <c r="J108" s="253">
        <v>0</v>
      </c>
      <c r="K108" s="253">
        <v>0</v>
      </c>
      <c r="L108" s="253">
        <v>42.813309999999994</v>
      </c>
      <c r="M108" s="253">
        <v>0</v>
      </c>
      <c r="N108" s="253">
        <v>0</v>
      </c>
    </row>
    <row r="109" spans="3:14" s="4" customFormat="1" ht="12.75" customHeight="1" x14ac:dyDescent="0.25">
      <c r="C109" s="4" t="s">
        <v>444</v>
      </c>
      <c r="D109" s="6" t="s">
        <v>322</v>
      </c>
      <c r="E109" s="6" t="s">
        <v>56</v>
      </c>
      <c r="F109" s="253">
        <v>0</v>
      </c>
      <c r="G109" s="253">
        <v>0</v>
      </c>
      <c r="H109" s="253">
        <v>0</v>
      </c>
      <c r="I109" s="253">
        <v>0</v>
      </c>
      <c r="J109" s="253">
        <v>0</v>
      </c>
      <c r="K109" s="253">
        <v>0</v>
      </c>
      <c r="L109" s="253">
        <v>344.40679999999998</v>
      </c>
      <c r="M109" s="253">
        <v>0</v>
      </c>
      <c r="N109" s="253">
        <v>0</v>
      </c>
    </row>
    <row r="110" spans="3:14" s="4" customFormat="1" ht="12.75" customHeight="1" x14ac:dyDescent="0.25">
      <c r="C110" s="4" t="s">
        <v>445</v>
      </c>
      <c r="D110" s="6" t="s">
        <v>322</v>
      </c>
      <c r="E110" s="6" t="s">
        <v>56</v>
      </c>
      <c r="F110" s="253">
        <v>0</v>
      </c>
      <c r="G110" s="253">
        <v>0</v>
      </c>
      <c r="H110" s="253">
        <v>0</v>
      </c>
      <c r="I110" s="253">
        <v>0</v>
      </c>
      <c r="J110" s="253">
        <v>0</v>
      </c>
      <c r="K110" s="253">
        <v>0</v>
      </c>
      <c r="L110" s="253">
        <v>0</v>
      </c>
      <c r="M110" s="253">
        <v>247.30784000000031</v>
      </c>
      <c r="N110" s="253">
        <v>0</v>
      </c>
    </row>
    <row r="111" spans="3:14" s="4" customFormat="1" ht="12.75" customHeight="1" x14ac:dyDescent="0.25">
      <c r="C111" s="4" t="s">
        <v>446</v>
      </c>
      <c r="D111" s="6" t="s">
        <v>322</v>
      </c>
      <c r="E111" s="6" t="s">
        <v>56</v>
      </c>
      <c r="F111" s="253">
        <v>0</v>
      </c>
      <c r="G111" s="253">
        <v>0</v>
      </c>
      <c r="H111" s="253">
        <v>0</v>
      </c>
      <c r="I111" s="253">
        <v>0</v>
      </c>
      <c r="J111" s="253">
        <v>0</v>
      </c>
      <c r="K111" s="253">
        <v>0</v>
      </c>
      <c r="L111" s="253">
        <v>25.320190000000004</v>
      </c>
      <c r="M111" s="253">
        <v>0</v>
      </c>
      <c r="N111" s="253">
        <v>0</v>
      </c>
    </row>
    <row r="112" spans="3:14" s="4" customFormat="1" ht="12.75" customHeight="1" x14ac:dyDescent="0.25">
      <c r="C112" s="4" t="s">
        <v>447</v>
      </c>
      <c r="D112" s="6" t="s">
        <v>322</v>
      </c>
      <c r="E112" s="6" t="s">
        <v>56</v>
      </c>
      <c r="F112" s="253">
        <v>0</v>
      </c>
      <c r="G112" s="253">
        <v>0</v>
      </c>
      <c r="H112" s="253">
        <v>0</v>
      </c>
      <c r="I112" s="253">
        <v>0</v>
      </c>
      <c r="J112" s="253">
        <v>0</v>
      </c>
      <c r="K112" s="253">
        <v>0</v>
      </c>
      <c r="L112" s="253">
        <v>877.03828999999996</v>
      </c>
      <c r="M112" s="253">
        <v>0</v>
      </c>
      <c r="N112" s="253">
        <v>0</v>
      </c>
    </row>
    <row r="113" spans="2:14" s="4" customFormat="1" ht="12.75" customHeight="1" x14ac:dyDescent="0.25">
      <c r="C113" s="4" t="s">
        <v>448</v>
      </c>
      <c r="D113" s="6" t="s">
        <v>322</v>
      </c>
      <c r="E113" s="6" t="s">
        <v>56</v>
      </c>
      <c r="F113" s="253">
        <v>0</v>
      </c>
      <c r="G113" s="253">
        <v>0</v>
      </c>
      <c r="H113" s="253">
        <v>0</v>
      </c>
      <c r="I113" s="253">
        <v>0</v>
      </c>
      <c r="J113" s="253">
        <v>0</v>
      </c>
      <c r="K113" s="253">
        <v>0</v>
      </c>
      <c r="L113" s="253">
        <v>52.057749999999992</v>
      </c>
      <c r="M113" s="253">
        <v>0</v>
      </c>
      <c r="N113" s="253">
        <v>0</v>
      </c>
    </row>
    <row r="114" spans="2:14" s="4" customFormat="1" ht="12.75" customHeight="1" x14ac:dyDescent="0.25">
      <c r="C114" s="4" t="s">
        <v>449</v>
      </c>
      <c r="D114" s="6" t="s">
        <v>322</v>
      </c>
      <c r="E114" s="6" t="s">
        <v>56</v>
      </c>
      <c r="F114" s="253">
        <v>0</v>
      </c>
      <c r="G114" s="253">
        <v>0</v>
      </c>
      <c r="H114" s="253">
        <v>0</v>
      </c>
      <c r="I114" s="253">
        <v>0</v>
      </c>
      <c r="J114" s="253">
        <v>0</v>
      </c>
      <c r="K114" s="253">
        <v>0</v>
      </c>
      <c r="L114" s="253">
        <v>419.04575</v>
      </c>
      <c r="M114" s="253">
        <v>0</v>
      </c>
      <c r="N114" s="253">
        <v>0</v>
      </c>
    </row>
    <row r="115" spans="2:14" s="4" customFormat="1" ht="12.75" customHeight="1" x14ac:dyDescent="0.25">
      <c r="C115" s="4" t="s">
        <v>450</v>
      </c>
      <c r="D115" s="6" t="s">
        <v>322</v>
      </c>
      <c r="E115" s="6" t="s">
        <v>56</v>
      </c>
      <c r="F115" s="253">
        <v>0</v>
      </c>
      <c r="G115" s="253">
        <v>0</v>
      </c>
      <c r="H115" s="253">
        <v>0</v>
      </c>
      <c r="I115" s="253">
        <v>0</v>
      </c>
      <c r="J115" s="253">
        <v>0</v>
      </c>
      <c r="K115" s="253">
        <v>0</v>
      </c>
      <c r="L115" s="253">
        <v>292.4126</v>
      </c>
      <c r="M115" s="253">
        <v>0</v>
      </c>
      <c r="N115" s="253">
        <v>0</v>
      </c>
    </row>
    <row r="116" spans="2:14" s="4" customFormat="1" ht="12.75" customHeight="1" x14ac:dyDescent="0.25">
      <c r="C116" s="4" t="s">
        <v>370</v>
      </c>
      <c r="D116" s="6" t="s">
        <v>322</v>
      </c>
      <c r="E116" s="6" t="s">
        <v>56</v>
      </c>
      <c r="F116" s="253">
        <v>0</v>
      </c>
      <c r="G116" s="253">
        <v>0</v>
      </c>
      <c r="H116" s="253">
        <v>0</v>
      </c>
      <c r="I116" s="253">
        <v>0</v>
      </c>
      <c r="J116" s="253">
        <v>0</v>
      </c>
      <c r="K116" s="253">
        <v>0</v>
      </c>
      <c r="L116" s="253">
        <v>758.44471999999996</v>
      </c>
      <c r="M116" s="253">
        <v>0</v>
      </c>
      <c r="N116" s="253">
        <v>0</v>
      </c>
    </row>
    <row r="117" spans="2:14" s="4" customFormat="1" ht="12.75" customHeight="1" x14ac:dyDescent="0.25">
      <c r="C117" s="223" t="s">
        <v>464</v>
      </c>
      <c r="D117" s="254" t="s">
        <v>322</v>
      </c>
      <c r="E117" s="254" t="s">
        <v>56</v>
      </c>
      <c r="F117" s="264">
        <v>0</v>
      </c>
      <c r="G117" s="264">
        <v>0</v>
      </c>
      <c r="H117" s="264">
        <v>0</v>
      </c>
      <c r="I117" s="264">
        <v>0</v>
      </c>
      <c r="J117" s="264">
        <v>0</v>
      </c>
      <c r="K117" s="264">
        <v>191.27044000000001</v>
      </c>
      <c r="L117" s="264">
        <v>0</v>
      </c>
      <c r="M117" s="264">
        <v>0</v>
      </c>
      <c r="N117" s="264">
        <v>0</v>
      </c>
    </row>
    <row r="118" spans="2:14" s="4" customFormat="1" ht="12.75" customHeight="1" x14ac:dyDescent="0.25">
      <c r="C118" s="223" t="s">
        <v>465</v>
      </c>
      <c r="D118" s="254" t="s">
        <v>322</v>
      </c>
      <c r="E118" s="254" t="s">
        <v>56</v>
      </c>
      <c r="F118" s="264">
        <v>0</v>
      </c>
      <c r="G118" s="264">
        <v>0</v>
      </c>
      <c r="H118" s="264">
        <v>0</v>
      </c>
      <c r="I118" s="264">
        <v>0</v>
      </c>
      <c r="J118" s="264">
        <v>0</v>
      </c>
      <c r="K118" s="264">
        <v>202.38293999999948</v>
      </c>
      <c r="L118" s="264">
        <v>0</v>
      </c>
      <c r="M118" s="264">
        <v>0</v>
      </c>
      <c r="N118" s="264">
        <v>0</v>
      </c>
    </row>
    <row r="119" spans="2:14" s="4" customFormat="1" ht="12.75" customHeight="1" collapsed="1" x14ac:dyDescent="0.3">
      <c r="B119" s="7"/>
      <c r="C119" s="7"/>
      <c r="D119" s="243"/>
      <c r="E119" s="243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2:14" s="4" customFormat="1" ht="12.75" customHeight="1" x14ac:dyDescent="0.3">
      <c r="B120" s="7" t="s">
        <v>374</v>
      </c>
      <c r="F120" s="8"/>
      <c r="G120" s="205"/>
      <c r="H120" s="205"/>
      <c r="I120" s="205"/>
      <c r="J120" s="205"/>
      <c r="K120" s="205"/>
      <c r="L120" s="205"/>
      <c r="M120" s="205"/>
      <c r="N120" s="205"/>
    </row>
    <row r="121" spans="2:14" s="4" customFormat="1" ht="12.75" customHeight="1" x14ac:dyDescent="0.3">
      <c r="B121" s="7"/>
      <c r="C121" s="4" t="s">
        <v>375</v>
      </c>
      <c r="D121" s="6" t="s">
        <v>322</v>
      </c>
      <c r="E121" s="6" t="s">
        <v>56</v>
      </c>
      <c r="F121" s="253">
        <v>0</v>
      </c>
      <c r="G121" s="253">
        <v>0</v>
      </c>
      <c r="H121" s="253">
        <v>10758.008880000001</v>
      </c>
      <c r="I121" s="253">
        <v>11254.493480000001</v>
      </c>
      <c r="J121" s="253">
        <v>0</v>
      </c>
      <c r="K121" s="253">
        <v>0</v>
      </c>
      <c r="L121" s="253">
        <v>0</v>
      </c>
      <c r="M121" s="253">
        <v>0</v>
      </c>
      <c r="N121" s="253">
        <v>0</v>
      </c>
    </row>
    <row r="122" spans="2:14" s="4" customFormat="1" ht="12.75" customHeight="1" x14ac:dyDescent="0.3">
      <c r="B122" s="7"/>
      <c r="C122" s="4" t="s">
        <v>376</v>
      </c>
      <c r="D122" s="6" t="s">
        <v>322</v>
      </c>
      <c r="E122" s="6" t="s">
        <v>56</v>
      </c>
      <c r="F122" s="253">
        <v>0</v>
      </c>
      <c r="G122" s="253">
        <v>0</v>
      </c>
      <c r="H122" s="253">
        <v>483.27954000000005</v>
      </c>
      <c r="I122" s="253">
        <v>0</v>
      </c>
      <c r="J122" s="253">
        <v>0</v>
      </c>
      <c r="K122" s="253">
        <v>0</v>
      </c>
      <c r="L122" s="253">
        <v>0</v>
      </c>
      <c r="M122" s="253">
        <v>0</v>
      </c>
      <c r="N122" s="253">
        <v>0</v>
      </c>
    </row>
    <row r="123" spans="2:14" s="4" customFormat="1" ht="12.75" customHeight="1" x14ac:dyDescent="0.3">
      <c r="B123" s="7"/>
      <c r="C123" s="4" t="s">
        <v>377</v>
      </c>
      <c r="D123" s="6" t="s">
        <v>322</v>
      </c>
      <c r="E123" s="6" t="s">
        <v>56</v>
      </c>
      <c r="F123" s="253">
        <v>0</v>
      </c>
      <c r="G123" s="253">
        <v>0</v>
      </c>
      <c r="H123" s="253">
        <v>2871.1388400000001</v>
      </c>
      <c r="I123" s="253">
        <v>0</v>
      </c>
      <c r="J123" s="253">
        <v>0</v>
      </c>
      <c r="K123" s="253">
        <v>0</v>
      </c>
      <c r="L123" s="253">
        <v>0</v>
      </c>
      <c r="M123" s="253">
        <v>0</v>
      </c>
      <c r="N123" s="253">
        <v>0</v>
      </c>
    </row>
    <row r="124" spans="2:14" s="4" customFormat="1" ht="12.75" customHeight="1" x14ac:dyDescent="0.3">
      <c r="B124" s="7"/>
      <c r="C124" s="4" t="s">
        <v>378</v>
      </c>
      <c r="D124" s="6" t="s">
        <v>322</v>
      </c>
      <c r="E124" s="6" t="s">
        <v>56</v>
      </c>
      <c r="F124" s="253">
        <v>0</v>
      </c>
      <c r="G124" s="253">
        <v>0</v>
      </c>
      <c r="H124" s="253">
        <v>0</v>
      </c>
      <c r="I124" s="253">
        <v>406.36348000000004</v>
      </c>
      <c r="J124" s="253">
        <v>0</v>
      </c>
      <c r="K124" s="253">
        <v>0</v>
      </c>
      <c r="L124" s="253">
        <v>0</v>
      </c>
      <c r="M124" s="253">
        <v>0</v>
      </c>
      <c r="N124" s="253">
        <v>0</v>
      </c>
    </row>
    <row r="125" spans="2:14" s="4" customFormat="1" ht="12.75" customHeight="1" x14ac:dyDescent="0.3">
      <c r="B125" s="7"/>
      <c r="C125" s="4" t="s">
        <v>379</v>
      </c>
      <c r="D125" s="6" t="s">
        <v>322</v>
      </c>
      <c r="E125" s="6" t="s">
        <v>56</v>
      </c>
      <c r="F125" s="253">
        <v>0</v>
      </c>
      <c r="G125" s="253">
        <v>0</v>
      </c>
      <c r="H125" s="253">
        <v>0</v>
      </c>
      <c r="I125" s="253">
        <v>38.898300000000006</v>
      </c>
      <c r="J125" s="253">
        <v>0</v>
      </c>
      <c r="K125" s="253">
        <v>0</v>
      </c>
      <c r="L125" s="253">
        <v>0</v>
      </c>
      <c r="M125" s="253">
        <v>0</v>
      </c>
      <c r="N125" s="253">
        <v>0</v>
      </c>
    </row>
    <row r="126" spans="2:14" s="4" customFormat="1" ht="12.75" customHeight="1" x14ac:dyDescent="0.3">
      <c r="B126" s="7"/>
      <c r="C126" s="4" t="s">
        <v>380</v>
      </c>
      <c r="D126" s="6" t="s">
        <v>322</v>
      </c>
      <c r="E126" s="6" t="s">
        <v>56</v>
      </c>
      <c r="F126" s="253">
        <v>0</v>
      </c>
      <c r="G126" s="253">
        <v>0</v>
      </c>
      <c r="H126" s="253">
        <v>0</v>
      </c>
      <c r="I126" s="253">
        <v>47.796599999999998</v>
      </c>
      <c r="J126" s="253">
        <v>0</v>
      </c>
      <c r="K126" s="253">
        <v>0</v>
      </c>
      <c r="L126" s="253">
        <v>0</v>
      </c>
      <c r="M126" s="253">
        <v>0</v>
      </c>
      <c r="N126" s="253">
        <v>0</v>
      </c>
    </row>
    <row r="127" spans="2:14" s="4" customFormat="1" ht="12.75" customHeight="1" x14ac:dyDescent="0.3">
      <c r="B127" s="7"/>
      <c r="C127" s="4" t="s">
        <v>381</v>
      </c>
      <c r="D127" s="6" t="s">
        <v>322</v>
      </c>
      <c r="E127" s="6" t="s">
        <v>56</v>
      </c>
      <c r="F127" s="253">
        <v>0</v>
      </c>
      <c r="G127" s="253">
        <v>0</v>
      </c>
      <c r="H127" s="253">
        <v>0</v>
      </c>
      <c r="I127" s="253">
        <v>137.19009</v>
      </c>
      <c r="J127" s="253">
        <v>0</v>
      </c>
      <c r="K127" s="253">
        <v>0</v>
      </c>
      <c r="L127" s="253">
        <v>0</v>
      </c>
      <c r="M127" s="253">
        <v>0</v>
      </c>
      <c r="N127" s="253">
        <v>0</v>
      </c>
    </row>
    <row r="128" spans="2:14" s="4" customFormat="1" ht="12.75" customHeight="1" x14ac:dyDescent="0.3">
      <c r="B128" s="7"/>
      <c r="C128" s="4" t="s">
        <v>382</v>
      </c>
      <c r="D128" s="6" t="s">
        <v>322</v>
      </c>
      <c r="E128" s="6" t="s">
        <v>56</v>
      </c>
      <c r="F128" s="253">
        <v>0</v>
      </c>
      <c r="G128" s="253">
        <v>0</v>
      </c>
      <c r="H128" s="253">
        <v>0</v>
      </c>
      <c r="I128" s="253">
        <v>86.138989999999978</v>
      </c>
      <c r="J128" s="253">
        <v>0</v>
      </c>
      <c r="K128" s="253">
        <v>0</v>
      </c>
      <c r="L128" s="253">
        <v>0</v>
      </c>
      <c r="M128" s="253">
        <v>0</v>
      </c>
      <c r="N128" s="253">
        <v>0</v>
      </c>
    </row>
    <row r="129" spans="2:14" s="4" customFormat="1" ht="12.75" customHeight="1" x14ac:dyDescent="0.3">
      <c r="B129" s="7"/>
      <c r="C129" s="4" t="s">
        <v>383</v>
      </c>
      <c r="D129" s="6" t="s">
        <v>322</v>
      </c>
      <c r="E129" s="6" t="s">
        <v>56</v>
      </c>
      <c r="F129" s="253">
        <v>0</v>
      </c>
      <c r="G129" s="253">
        <v>0</v>
      </c>
      <c r="H129" s="253">
        <v>0</v>
      </c>
      <c r="I129" s="253">
        <v>19.385590000000001</v>
      </c>
      <c r="J129" s="253">
        <v>0</v>
      </c>
      <c r="K129" s="253">
        <v>0</v>
      </c>
      <c r="L129" s="253">
        <v>0</v>
      </c>
      <c r="M129" s="253">
        <v>0</v>
      </c>
      <c r="N129" s="253">
        <v>0</v>
      </c>
    </row>
    <row r="130" spans="2:14" s="4" customFormat="1" ht="12.75" customHeight="1" x14ac:dyDescent="0.3">
      <c r="B130" s="7"/>
      <c r="C130" s="4" t="s">
        <v>384</v>
      </c>
      <c r="D130" s="6" t="s">
        <v>322</v>
      </c>
      <c r="E130" s="6" t="s">
        <v>56</v>
      </c>
      <c r="F130" s="253">
        <v>0</v>
      </c>
      <c r="G130" s="253">
        <v>0</v>
      </c>
      <c r="H130" s="253">
        <v>0</v>
      </c>
      <c r="I130" s="253">
        <v>191.42875999999998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</row>
    <row r="131" spans="2:14" s="4" customFormat="1" ht="12.75" customHeight="1" x14ac:dyDescent="0.3">
      <c r="B131" s="7"/>
      <c r="C131" s="4" t="s">
        <v>348</v>
      </c>
      <c r="D131" s="6" t="s">
        <v>322</v>
      </c>
      <c r="E131" s="6" t="s">
        <v>56</v>
      </c>
      <c r="F131" s="253">
        <v>0</v>
      </c>
      <c r="G131" s="253">
        <v>0</v>
      </c>
      <c r="H131" s="253">
        <v>0</v>
      </c>
      <c r="I131" s="253">
        <v>1460.6024600000001</v>
      </c>
      <c r="J131" s="253">
        <v>468.86183999999997</v>
      </c>
      <c r="K131" s="253">
        <v>0</v>
      </c>
      <c r="L131" s="253">
        <v>0</v>
      </c>
      <c r="M131" s="253">
        <v>0</v>
      </c>
      <c r="N131" s="253">
        <v>0</v>
      </c>
    </row>
    <row r="132" spans="2:14" s="4" customFormat="1" ht="12.75" customHeight="1" x14ac:dyDescent="0.3">
      <c r="B132" s="7"/>
      <c r="C132" s="4" t="s">
        <v>385</v>
      </c>
      <c r="D132" s="6" t="s">
        <v>322</v>
      </c>
      <c r="E132" s="6" t="s">
        <v>56</v>
      </c>
      <c r="F132" s="253">
        <v>0</v>
      </c>
      <c r="G132" s="253">
        <v>0</v>
      </c>
      <c r="H132" s="253">
        <v>0</v>
      </c>
      <c r="I132" s="253">
        <v>582.60040000000004</v>
      </c>
      <c r="J132" s="253">
        <v>86.604810000000001</v>
      </c>
      <c r="K132" s="253">
        <v>0</v>
      </c>
      <c r="L132" s="253">
        <v>0</v>
      </c>
      <c r="M132" s="253">
        <v>0</v>
      </c>
      <c r="N132" s="253">
        <v>0</v>
      </c>
    </row>
    <row r="133" spans="2:14" s="4" customFormat="1" ht="12.75" customHeight="1" x14ac:dyDescent="0.3">
      <c r="B133" s="7"/>
      <c r="C133" s="4" t="s">
        <v>386</v>
      </c>
      <c r="D133" s="6" t="s">
        <v>322</v>
      </c>
      <c r="E133" s="6" t="s">
        <v>56</v>
      </c>
      <c r="F133" s="253">
        <v>0</v>
      </c>
      <c r="G133" s="253">
        <v>0</v>
      </c>
      <c r="H133" s="253">
        <v>0</v>
      </c>
      <c r="I133" s="253">
        <v>0</v>
      </c>
      <c r="J133" s="253">
        <v>36663.21149999999</v>
      </c>
      <c r="K133" s="253">
        <v>-569.10527999999999</v>
      </c>
      <c r="L133" s="253">
        <v>0</v>
      </c>
      <c r="M133" s="253">
        <v>0</v>
      </c>
      <c r="N133" s="253">
        <v>0</v>
      </c>
    </row>
    <row r="134" spans="2:14" s="4" customFormat="1" ht="12.75" customHeight="1" x14ac:dyDescent="0.3">
      <c r="B134" s="7"/>
      <c r="C134" s="4" t="s">
        <v>387</v>
      </c>
      <c r="D134" s="6" t="s">
        <v>322</v>
      </c>
      <c r="E134" s="6" t="s">
        <v>56</v>
      </c>
      <c r="F134" s="253">
        <v>0</v>
      </c>
      <c r="G134" s="253">
        <v>0</v>
      </c>
      <c r="H134" s="253">
        <v>0</v>
      </c>
      <c r="I134" s="253">
        <v>0</v>
      </c>
      <c r="J134" s="253">
        <v>875.50319999999999</v>
      </c>
      <c r="K134" s="253">
        <v>-13.589650000000001</v>
      </c>
      <c r="L134" s="253">
        <v>0</v>
      </c>
      <c r="M134" s="253">
        <v>0</v>
      </c>
      <c r="N134" s="253">
        <v>0</v>
      </c>
    </row>
    <row r="135" spans="2:14" s="4" customFormat="1" ht="12.75" customHeight="1" x14ac:dyDescent="0.3">
      <c r="B135" s="7"/>
      <c r="C135" s="4" t="s">
        <v>388</v>
      </c>
      <c r="D135" s="6" t="s">
        <v>322</v>
      </c>
      <c r="E135" s="6" t="s">
        <v>56</v>
      </c>
      <c r="F135" s="253">
        <v>0</v>
      </c>
      <c r="G135" s="253">
        <v>0</v>
      </c>
      <c r="H135" s="253">
        <v>0</v>
      </c>
      <c r="I135" s="253">
        <v>0</v>
      </c>
      <c r="J135" s="253">
        <v>19706.855339999995</v>
      </c>
      <c r="K135" s="253">
        <v>-309.53197999999998</v>
      </c>
      <c r="L135" s="253">
        <v>0</v>
      </c>
      <c r="M135" s="253">
        <v>0</v>
      </c>
      <c r="N135" s="253">
        <v>0</v>
      </c>
    </row>
    <row r="136" spans="2:14" s="4" customFormat="1" ht="12.75" customHeight="1" x14ac:dyDescent="0.3">
      <c r="B136" s="7"/>
      <c r="C136" s="4" t="s">
        <v>389</v>
      </c>
      <c r="D136" s="6" t="s">
        <v>322</v>
      </c>
      <c r="E136" s="6" t="s">
        <v>56</v>
      </c>
      <c r="F136" s="253">
        <v>0</v>
      </c>
      <c r="G136" s="253">
        <v>0</v>
      </c>
      <c r="H136" s="253">
        <v>0</v>
      </c>
      <c r="I136" s="253">
        <v>0</v>
      </c>
      <c r="J136" s="253">
        <v>1010.2777999999997</v>
      </c>
      <c r="K136" s="253">
        <v>-15.68186</v>
      </c>
      <c r="L136" s="253">
        <v>0</v>
      </c>
      <c r="M136" s="253">
        <v>0</v>
      </c>
      <c r="N136" s="253">
        <v>0</v>
      </c>
    </row>
    <row r="137" spans="2:14" s="4" customFormat="1" ht="12.75" customHeight="1" x14ac:dyDescent="0.3">
      <c r="B137" s="7"/>
      <c r="C137" s="4" t="s">
        <v>349</v>
      </c>
      <c r="D137" s="6" t="s">
        <v>322</v>
      </c>
      <c r="E137" s="6" t="s">
        <v>56</v>
      </c>
      <c r="F137" s="253">
        <v>0</v>
      </c>
      <c r="G137" s="253">
        <v>0</v>
      </c>
      <c r="H137" s="253">
        <v>0</v>
      </c>
      <c r="I137" s="253">
        <v>1167.0572</v>
      </c>
      <c r="J137" s="253">
        <v>0</v>
      </c>
      <c r="K137" s="253">
        <v>0</v>
      </c>
      <c r="L137" s="253">
        <v>0</v>
      </c>
      <c r="M137" s="253">
        <v>0</v>
      </c>
      <c r="N137" s="253">
        <v>0</v>
      </c>
    </row>
    <row r="138" spans="2:14" s="4" customFormat="1" ht="12.75" customHeight="1" x14ac:dyDescent="0.3">
      <c r="B138" s="7"/>
      <c r="C138" s="4" t="s">
        <v>390</v>
      </c>
      <c r="D138" s="6" t="s">
        <v>322</v>
      </c>
      <c r="E138" s="6" t="s">
        <v>56</v>
      </c>
      <c r="F138" s="253">
        <v>0</v>
      </c>
      <c r="G138" s="253">
        <v>0</v>
      </c>
      <c r="H138" s="253">
        <v>0</v>
      </c>
      <c r="I138" s="253">
        <v>0</v>
      </c>
      <c r="J138" s="253">
        <v>5602.6472699999995</v>
      </c>
      <c r="K138" s="253">
        <v>-18.551139999999666</v>
      </c>
      <c r="L138" s="253">
        <v>0</v>
      </c>
      <c r="M138" s="253">
        <v>0</v>
      </c>
      <c r="N138" s="253">
        <v>0</v>
      </c>
    </row>
    <row r="139" spans="2:14" s="4" customFormat="1" ht="12.75" customHeight="1" x14ac:dyDescent="0.3">
      <c r="B139" s="7"/>
      <c r="C139" s="4" t="s">
        <v>391</v>
      </c>
      <c r="D139" s="6" t="s">
        <v>322</v>
      </c>
      <c r="E139" s="6" t="s">
        <v>56</v>
      </c>
      <c r="F139" s="253">
        <v>0</v>
      </c>
      <c r="G139" s="253">
        <v>0</v>
      </c>
      <c r="H139" s="253">
        <v>0</v>
      </c>
      <c r="I139" s="253">
        <v>0</v>
      </c>
      <c r="J139" s="253">
        <v>0</v>
      </c>
      <c r="K139" s="253">
        <v>217.40445000000003</v>
      </c>
      <c r="L139" s="253">
        <v>0</v>
      </c>
      <c r="M139" s="253">
        <v>0</v>
      </c>
      <c r="N139" s="253">
        <v>0</v>
      </c>
    </row>
    <row r="140" spans="2:14" s="4" customFormat="1" ht="12.75" customHeight="1" x14ac:dyDescent="0.3">
      <c r="B140" s="7"/>
      <c r="C140" s="4" t="s">
        <v>392</v>
      </c>
      <c r="D140" s="6" t="s">
        <v>322</v>
      </c>
      <c r="E140" s="6" t="s">
        <v>56</v>
      </c>
      <c r="F140" s="253">
        <v>0</v>
      </c>
      <c r="G140" s="253">
        <v>0</v>
      </c>
      <c r="H140" s="253">
        <v>0</v>
      </c>
      <c r="I140" s="253">
        <v>0</v>
      </c>
      <c r="J140" s="253">
        <v>0</v>
      </c>
      <c r="K140" s="253">
        <v>8962.6062700000002</v>
      </c>
      <c r="L140" s="253">
        <v>0</v>
      </c>
      <c r="M140" s="253">
        <v>0</v>
      </c>
      <c r="N140" s="253">
        <v>0</v>
      </c>
    </row>
    <row r="141" spans="2:14" s="4" customFormat="1" ht="12.75" customHeight="1" x14ac:dyDescent="0.3">
      <c r="B141" s="7"/>
      <c r="C141" s="4" t="s">
        <v>393</v>
      </c>
      <c r="D141" s="6" t="s">
        <v>322</v>
      </c>
      <c r="E141" s="6" t="s">
        <v>56</v>
      </c>
      <c r="F141" s="253">
        <v>0</v>
      </c>
      <c r="G141" s="253">
        <v>0</v>
      </c>
      <c r="H141" s="253">
        <v>0</v>
      </c>
      <c r="I141" s="253">
        <v>0</v>
      </c>
      <c r="J141" s="253">
        <v>43.964599999999997</v>
      </c>
      <c r="K141" s="253">
        <v>0</v>
      </c>
      <c r="L141" s="253">
        <v>0</v>
      </c>
      <c r="M141" s="253">
        <v>0</v>
      </c>
      <c r="N141" s="253">
        <v>0</v>
      </c>
    </row>
    <row r="142" spans="2:14" s="4" customFormat="1" ht="12.75" customHeight="1" x14ac:dyDescent="0.3">
      <c r="B142" s="7"/>
      <c r="C142" s="4" t="s">
        <v>394</v>
      </c>
      <c r="D142" s="6" t="s">
        <v>322</v>
      </c>
      <c r="E142" s="6" t="s">
        <v>56</v>
      </c>
      <c r="F142" s="253">
        <v>0</v>
      </c>
      <c r="G142" s="253">
        <v>0</v>
      </c>
      <c r="H142" s="253">
        <v>0</v>
      </c>
      <c r="I142" s="253">
        <v>0</v>
      </c>
      <c r="J142" s="253">
        <v>106.03545000000001</v>
      </c>
      <c r="K142" s="253">
        <v>0</v>
      </c>
      <c r="L142" s="253">
        <v>0</v>
      </c>
      <c r="M142" s="253">
        <v>0</v>
      </c>
      <c r="N142" s="253">
        <v>0</v>
      </c>
    </row>
    <row r="143" spans="2:14" s="4" customFormat="1" ht="12.75" customHeight="1" x14ac:dyDescent="0.3">
      <c r="B143" s="7"/>
      <c r="C143" s="4" t="s">
        <v>395</v>
      </c>
      <c r="D143" s="6" t="s">
        <v>322</v>
      </c>
      <c r="E143" s="6" t="s">
        <v>56</v>
      </c>
      <c r="F143" s="253">
        <v>0</v>
      </c>
      <c r="G143" s="253">
        <v>0</v>
      </c>
      <c r="H143" s="253">
        <v>0</v>
      </c>
      <c r="I143" s="253">
        <v>0</v>
      </c>
      <c r="J143" s="253">
        <v>0</v>
      </c>
      <c r="K143" s="253">
        <v>3795.6305800000005</v>
      </c>
      <c r="L143" s="253">
        <v>0</v>
      </c>
      <c r="M143" s="253">
        <v>0</v>
      </c>
      <c r="N143" s="253">
        <v>0</v>
      </c>
    </row>
    <row r="144" spans="2:14" s="4" customFormat="1" ht="12.75" customHeight="1" x14ac:dyDescent="0.3">
      <c r="B144" s="7"/>
      <c r="C144" s="4" t="s">
        <v>396</v>
      </c>
      <c r="D144" s="6" t="s">
        <v>322</v>
      </c>
      <c r="E144" s="6" t="s">
        <v>56</v>
      </c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3">
        <v>0</v>
      </c>
      <c r="L144" s="253">
        <v>0</v>
      </c>
      <c r="M144" s="253">
        <v>840.78197999999998</v>
      </c>
      <c r="N144" s="253">
        <v>0</v>
      </c>
    </row>
    <row r="145" spans="2:14" s="4" customFormat="1" ht="12.75" customHeight="1" x14ac:dyDescent="0.3">
      <c r="B145" s="7"/>
      <c r="C145" s="4" t="s">
        <v>385</v>
      </c>
      <c r="D145" s="6" t="s">
        <v>322</v>
      </c>
      <c r="E145" s="6" t="s">
        <v>56</v>
      </c>
      <c r="F145" s="253">
        <v>0</v>
      </c>
      <c r="G145" s="253">
        <v>0</v>
      </c>
      <c r="H145" s="253">
        <v>0</v>
      </c>
      <c r="I145" s="253">
        <v>0</v>
      </c>
      <c r="J145" s="253">
        <v>0</v>
      </c>
      <c r="K145" s="253">
        <v>0</v>
      </c>
      <c r="L145" s="253">
        <v>380.93071999999995</v>
      </c>
      <c r="M145" s="253">
        <v>0</v>
      </c>
      <c r="N145" s="253">
        <v>0</v>
      </c>
    </row>
    <row r="146" spans="2:14" s="4" customFormat="1" ht="12.75" customHeight="1" x14ac:dyDescent="0.3">
      <c r="B146" s="7"/>
      <c r="C146" s="4" t="s">
        <v>349</v>
      </c>
      <c r="D146" s="6" t="s">
        <v>322</v>
      </c>
      <c r="E146" s="6" t="s">
        <v>56</v>
      </c>
      <c r="F146" s="253">
        <v>0</v>
      </c>
      <c r="G146" s="253">
        <v>0</v>
      </c>
      <c r="H146" s="253">
        <v>0</v>
      </c>
      <c r="I146" s="253">
        <v>0</v>
      </c>
      <c r="J146" s="253">
        <v>0</v>
      </c>
      <c r="K146" s="253">
        <v>0</v>
      </c>
      <c r="L146" s="253">
        <v>1583.5328499999996</v>
      </c>
      <c r="M146" s="253">
        <v>0</v>
      </c>
      <c r="N146" s="253">
        <v>0</v>
      </c>
    </row>
    <row r="147" spans="2:14" s="4" customFormat="1" ht="12.75" customHeight="1" x14ac:dyDescent="0.3">
      <c r="B147" s="7"/>
      <c r="C147" s="4" t="s">
        <v>397</v>
      </c>
      <c r="D147" s="6" t="s">
        <v>322</v>
      </c>
      <c r="E147" s="6" t="s">
        <v>56</v>
      </c>
      <c r="F147" s="253">
        <v>0</v>
      </c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28.083760000000002</v>
      </c>
      <c r="M147" s="253">
        <v>0</v>
      </c>
      <c r="N147" s="253">
        <v>0</v>
      </c>
    </row>
    <row r="148" spans="2:14" s="4" customFormat="1" ht="12.75" customHeight="1" x14ac:dyDescent="0.3">
      <c r="B148" s="7"/>
      <c r="C148" s="4" t="s">
        <v>390</v>
      </c>
      <c r="D148" s="6" t="s">
        <v>322</v>
      </c>
      <c r="E148" s="6" t="s">
        <v>56</v>
      </c>
      <c r="F148" s="253">
        <v>0</v>
      </c>
      <c r="G148" s="253">
        <v>0</v>
      </c>
      <c r="H148" s="253">
        <v>0</v>
      </c>
      <c r="I148" s="253">
        <v>0</v>
      </c>
      <c r="J148" s="253">
        <v>0</v>
      </c>
      <c r="K148" s="253">
        <v>0</v>
      </c>
      <c r="L148" s="253">
        <v>3267.3546200000001</v>
      </c>
      <c r="M148" s="253">
        <v>0</v>
      </c>
      <c r="N148" s="253">
        <v>0</v>
      </c>
    </row>
    <row r="149" spans="2:14" s="4" customFormat="1" ht="12.75" customHeight="1" x14ac:dyDescent="0.3">
      <c r="B149" s="7"/>
      <c r="C149" s="4" t="s">
        <v>398</v>
      </c>
      <c r="D149" s="6" t="s">
        <v>322</v>
      </c>
      <c r="E149" s="6" t="s">
        <v>56</v>
      </c>
      <c r="F149" s="253">
        <v>0</v>
      </c>
      <c r="G149" s="253">
        <v>0</v>
      </c>
      <c r="H149" s="253">
        <v>0</v>
      </c>
      <c r="I149" s="253">
        <v>0</v>
      </c>
      <c r="J149" s="253">
        <v>0</v>
      </c>
      <c r="K149" s="253">
        <v>0</v>
      </c>
      <c r="L149" s="253">
        <v>177.983</v>
      </c>
      <c r="M149" s="253">
        <v>0</v>
      </c>
      <c r="N149" s="253">
        <v>0</v>
      </c>
    </row>
    <row r="150" spans="2:14" s="4" customFormat="1" ht="12.75" customHeight="1" x14ac:dyDescent="0.3">
      <c r="B150" s="7"/>
      <c r="C150" s="4" t="s">
        <v>399</v>
      </c>
      <c r="D150" s="6" t="s">
        <v>322</v>
      </c>
      <c r="E150" s="6" t="s">
        <v>56</v>
      </c>
      <c r="F150" s="253">
        <v>0</v>
      </c>
      <c r="G150" s="253">
        <v>0</v>
      </c>
      <c r="H150" s="253">
        <v>0</v>
      </c>
      <c r="I150" s="253">
        <v>0</v>
      </c>
      <c r="J150" s="253">
        <v>0</v>
      </c>
      <c r="K150" s="253">
        <v>0</v>
      </c>
      <c r="L150" s="253">
        <v>268.38589000000002</v>
      </c>
      <c r="M150" s="253">
        <v>0</v>
      </c>
      <c r="N150" s="253">
        <v>0</v>
      </c>
    </row>
    <row r="151" spans="2:14" s="4" customFormat="1" ht="12.75" customHeight="1" x14ac:dyDescent="0.3">
      <c r="B151" s="7"/>
      <c r="C151" s="4" t="s">
        <v>400</v>
      </c>
      <c r="D151" s="6" t="s">
        <v>322</v>
      </c>
      <c r="E151" s="6" t="s">
        <v>56</v>
      </c>
      <c r="F151" s="253">
        <v>0</v>
      </c>
      <c r="G151" s="253">
        <v>0</v>
      </c>
      <c r="H151" s="253">
        <v>0</v>
      </c>
      <c r="I151" s="253">
        <v>0</v>
      </c>
      <c r="J151" s="253">
        <v>0</v>
      </c>
      <c r="K151" s="253">
        <v>0</v>
      </c>
      <c r="L151" s="253">
        <v>21.062819999999999</v>
      </c>
      <c r="M151" s="253">
        <v>0</v>
      </c>
      <c r="N151" s="253">
        <v>0</v>
      </c>
    </row>
    <row r="152" spans="2:14" s="4" customFormat="1" ht="12.75" customHeight="1" x14ac:dyDescent="0.3">
      <c r="B152" s="7"/>
      <c r="C152" s="4" t="s">
        <v>401</v>
      </c>
      <c r="D152" s="6" t="s">
        <v>322</v>
      </c>
      <c r="E152" s="6" t="s">
        <v>56</v>
      </c>
      <c r="F152" s="253">
        <v>0</v>
      </c>
      <c r="G152" s="253">
        <v>0</v>
      </c>
      <c r="H152" s="253">
        <v>0</v>
      </c>
      <c r="I152" s="253">
        <v>0</v>
      </c>
      <c r="J152" s="253">
        <v>0</v>
      </c>
      <c r="K152" s="253">
        <v>0</v>
      </c>
      <c r="L152" s="253">
        <v>462.47151000000002</v>
      </c>
      <c r="M152" s="253">
        <v>0</v>
      </c>
      <c r="N152" s="253">
        <v>0</v>
      </c>
    </row>
    <row r="153" spans="2:14" s="4" customFormat="1" ht="12.75" customHeight="1" x14ac:dyDescent="0.3">
      <c r="B153" s="7"/>
      <c r="C153" s="4" t="s">
        <v>402</v>
      </c>
      <c r="D153" s="6" t="s">
        <v>322</v>
      </c>
      <c r="E153" s="6" t="s">
        <v>56</v>
      </c>
      <c r="F153" s="253">
        <v>0</v>
      </c>
      <c r="G153" s="253">
        <v>0</v>
      </c>
      <c r="H153" s="253">
        <v>0</v>
      </c>
      <c r="I153" s="253">
        <v>0</v>
      </c>
      <c r="J153" s="253">
        <v>0</v>
      </c>
      <c r="K153" s="253">
        <v>0</v>
      </c>
      <c r="L153" s="253">
        <v>576.94799999999998</v>
      </c>
      <c r="M153" s="253">
        <v>0</v>
      </c>
      <c r="N153" s="253">
        <v>0</v>
      </c>
    </row>
    <row r="154" spans="2:14" s="4" customFormat="1" ht="12.75" customHeight="1" x14ac:dyDescent="0.3">
      <c r="B154" s="7"/>
      <c r="C154" s="4" t="s">
        <v>403</v>
      </c>
      <c r="D154" s="6" t="s">
        <v>322</v>
      </c>
      <c r="E154" s="6" t="s">
        <v>56</v>
      </c>
      <c r="F154" s="253">
        <v>0</v>
      </c>
      <c r="G154" s="253">
        <v>0</v>
      </c>
      <c r="H154" s="253">
        <v>0</v>
      </c>
      <c r="I154" s="253">
        <v>0</v>
      </c>
      <c r="J154" s="253">
        <v>0</v>
      </c>
      <c r="K154" s="253">
        <v>0</v>
      </c>
      <c r="L154" s="253">
        <v>354.46233000000001</v>
      </c>
      <c r="M154" s="253">
        <v>0</v>
      </c>
      <c r="N154" s="253">
        <v>0</v>
      </c>
    </row>
    <row r="155" spans="2:14" s="4" customFormat="1" ht="12.75" customHeight="1" x14ac:dyDescent="0.3">
      <c r="B155" s="7"/>
      <c r="C155" s="4" t="s">
        <v>404</v>
      </c>
      <c r="D155" s="6" t="s">
        <v>322</v>
      </c>
      <c r="E155" s="6" t="s">
        <v>56</v>
      </c>
      <c r="F155" s="253">
        <v>0</v>
      </c>
      <c r="G155" s="253">
        <v>0</v>
      </c>
      <c r="H155" s="253">
        <v>0</v>
      </c>
      <c r="I155" s="253">
        <v>0</v>
      </c>
      <c r="J155" s="253">
        <v>0</v>
      </c>
      <c r="K155" s="253">
        <v>0</v>
      </c>
      <c r="L155" s="253">
        <v>7.0209399999999995</v>
      </c>
      <c r="M155" s="253">
        <v>0</v>
      </c>
      <c r="N155" s="253">
        <v>0</v>
      </c>
    </row>
    <row r="156" spans="2:14" s="4" customFormat="1" ht="12.75" customHeight="1" x14ac:dyDescent="0.3">
      <c r="B156" s="7"/>
      <c r="C156" s="4" t="s">
        <v>405</v>
      </c>
      <c r="D156" s="6" t="s">
        <v>322</v>
      </c>
      <c r="E156" s="6" t="s">
        <v>56</v>
      </c>
      <c r="F156" s="253">
        <v>0</v>
      </c>
      <c r="G156" s="253">
        <v>0</v>
      </c>
      <c r="H156" s="253">
        <v>0</v>
      </c>
      <c r="I156" s="253">
        <v>0</v>
      </c>
      <c r="J156" s="253">
        <v>0</v>
      </c>
      <c r="K156" s="253">
        <v>0</v>
      </c>
      <c r="L156" s="253">
        <v>0</v>
      </c>
      <c r="M156" s="253">
        <v>543.31723</v>
      </c>
      <c r="N156" s="253">
        <v>0</v>
      </c>
    </row>
    <row r="157" spans="2:14" s="4" customFormat="1" ht="12.75" customHeight="1" x14ac:dyDescent="0.25">
      <c r="C157" s="4" t="s">
        <v>406</v>
      </c>
      <c r="D157" s="6" t="s">
        <v>322</v>
      </c>
      <c r="E157" s="6" t="s">
        <v>56</v>
      </c>
      <c r="F157" s="253">
        <v>0</v>
      </c>
      <c r="G157" s="253">
        <v>0</v>
      </c>
      <c r="H157" s="253">
        <v>0</v>
      </c>
      <c r="I157" s="253">
        <v>0</v>
      </c>
      <c r="J157" s="253">
        <v>0</v>
      </c>
      <c r="K157" s="253">
        <v>0</v>
      </c>
      <c r="L157" s="253">
        <v>0</v>
      </c>
      <c r="M157" s="253">
        <v>40</v>
      </c>
      <c r="N157" s="253">
        <v>0</v>
      </c>
    </row>
    <row r="158" spans="2:14" s="4" customFormat="1" ht="12.75" customHeight="1" x14ac:dyDescent="0.25">
      <c r="C158" s="4" t="s">
        <v>407</v>
      </c>
      <c r="D158" s="6" t="s">
        <v>322</v>
      </c>
      <c r="E158" s="6" t="s">
        <v>56</v>
      </c>
      <c r="F158" s="253">
        <v>0</v>
      </c>
      <c r="G158" s="253">
        <v>0</v>
      </c>
      <c r="H158" s="253">
        <v>0</v>
      </c>
      <c r="I158" s="253">
        <v>0</v>
      </c>
      <c r="J158" s="253">
        <v>0</v>
      </c>
      <c r="K158" s="253">
        <v>0</v>
      </c>
      <c r="L158" s="253">
        <v>0</v>
      </c>
      <c r="M158" s="253">
        <v>0</v>
      </c>
      <c r="N158" s="253">
        <v>775.05223000000012</v>
      </c>
    </row>
    <row r="159" spans="2:14" s="4" customFormat="1" ht="12.75" customHeight="1" x14ac:dyDescent="0.3">
      <c r="B159" s="7"/>
      <c r="C159" s="4" t="s">
        <v>377</v>
      </c>
      <c r="D159" s="6" t="s">
        <v>322</v>
      </c>
      <c r="E159" s="6" t="s">
        <v>56</v>
      </c>
      <c r="F159" s="253">
        <v>826.37185999999997</v>
      </c>
      <c r="G159" s="253">
        <v>0</v>
      </c>
      <c r="H159" s="253">
        <v>0</v>
      </c>
      <c r="I159" s="253">
        <v>0</v>
      </c>
      <c r="J159" s="253">
        <v>0</v>
      </c>
      <c r="K159" s="253">
        <v>0</v>
      </c>
      <c r="L159" s="253">
        <v>0</v>
      </c>
      <c r="M159" s="253">
        <v>0</v>
      </c>
      <c r="N159" s="253">
        <v>0</v>
      </c>
    </row>
    <row r="160" spans="2:14" s="4" customFormat="1" ht="12.75" customHeight="1" x14ac:dyDescent="0.3">
      <c r="B160" s="7"/>
      <c r="C160" s="4" t="s">
        <v>326</v>
      </c>
      <c r="D160" s="6" t="s">
        <v>322</v>
      </c>
      <c r="E160" s="6" t="s">
        <v>56</v>
      </c>
      <c r="F160" s="253">
        <v>5.8000500000000006</v>
      </c>
      <c r="G160" s="253">
        <v>0</v>
      </c>
      <c r="H160" s="253">
        <v>0</v>
      </c>
      <c r="I160" s="253">
        <v>0</v>
      </c>
      <c r="J160" s="253">
        <v>0</v>
      </c>
      <c r="K160" s="253">
        <v>0</v>
      </c>
      <c r="L160" s="253">
        <v>0</v>
      </c>
      <c r="M160" s="253">
        <v>0</v>
      </c>
      <c r="N160" s="253">
        <v>-5.8000500000000006</v>
      </c>
    </row>
    <row r="161" spans="2:14" s="4" customFormat="1" ht="12.75" customHeight="1" x14ac:dyDescent="0.3">
      <c r="B161" s="7"/>
      <c r="C161" s="4" t="s">
        <v>451</v>
      </c>
      <c r="D161" s="6" t="s">
        <v>322</v>
      </c>
      <c r="E161" s="6" t="s">
        <v>56</v>
      </c>
      <c r="F161" s="253">
        <v>0</v>
      </c>
      <c r="G161" s="253">
        <v>54.795720000000003</v>
      </c>
      <c r="H161" s="253">
        <v>0</v>
      </c>
      <c r="I161" s="253">
        <v>0</v>
      </c>
      <c r="J161" s="253">
        <v>0</v>
      </c>
      <c r="K161" s="253">
        <v>0</v>
      </c>
      <c r="L161" s="253">
        <v>0</v>
      </c>
      <c r="M161" s="253">
        <v>0</v>
      </c>
      <c r="N161" s="253">
        <v>0</v>
      </c>
    </row>
    <row r="162" spans="2:14" s="4" customFormat="1" ht="12.75" customHeight="1" x14ac:dyDescent="0.3">
      <c r="B162" s="7"/>
      <c r="C162" s="4" t="s">
        <v>452</v>
      </c>
      <c r="D162" s="6" t="s">
        <v>322</v>
      </c>
      <c r="E162" s="6" t="s">
        <v>56</v>
      </c>
      <c r="F162" s="253">
        <v>0</v>
      </c>
      <c r="G162" s="253">
        <v>0</v>
      </c>
      <c r="H162" s="253">
        <v>167.67669000000001</v>
      </c>
      <c r="I162" s="253">
        <v>-167.67669000000001</v>
      </c>
      <c r="J162" s="253">
        <v>0</v>
      </c>
      <c r="K162" s="253">
        <v>0</v>
      </c>
      <c r="L162" s="253">
        <v>0</v>
      </c>
      <c r="M162" s="253">
        <v>0</v>
      </c>
      <c r="N162" s="253">
        <v>0</v>
      </c>
    </row>
    <row r="163" spans="2:14" s="4" customFormat="1" ht="12.75" customHeight="1" x14ac:dyDescent="0.3">
      <c r="B163" s="7"/>
      <c r="C163" s="4" t="s">
        <v>402</v>
      </c>
      <c r="D163" s="6" t="s">
        <v>322</v>
      </c>
      <c r="E163" s="6" t="s">
        <v>56</v>
      </c>
      <c r="F163" s="253">
        <v>0</v>
      </c>
      <c r="G163" s="253">
        <v>0</v>
      </c>
      <c r="H163" s="253">
        <v>0</v>
      </c>
      <c r="I163" s="253">
        <v>569.83010000000002</v>
      </c>
      <c r="J163" s="253">
        <v>0</v>
      </c>
      <c r="K163" s="253">
        <v>0</v>
      </c>
      <c r="L163" s="253">
        <v>0</v>
      </c>
      <c r="M163" s="253">
        <v>0</v>
      </c>
      <c r="N163" s="253">
        <v>0</v>
      </c>
    </row>
    <row r="164" spans="2:14" s="4" customFormat="1" ht="12.75" customHeight="1" x14ac:dyDescent="0.3">
      <c r="B164" s="7"/>
      <c r="C164" s="4" t="s">
        <v>453</v>
      </c>
      <c r="D164" s="6" t="s">
        <v>322</v>
      </c>
      <c r="E164" s="6" t="s">
        <v>56</v>
      </c>
      <c r="F164" s="253">
        <v>0</v>
      </c>
      <c r="G164" s="253">
        <v>0</v>
      </c>
      <c r="H164" s="253">
        <v>0</v>
      </c>
      <c r="I164" s="253">
        <v>0</v>
      </c>
      <c r="J164" s="253">
        <v>0</v>
      </c>
      <c r="K164" s="253">
        <v>220.75547</v>
      </c>
      <c r="L164" s="253">
        <v>0</v>
      </c>
      <c r="M164" s="253">
        <v>0</v>
      </c>
      <c r="N164" s="253">
        <v>0</v>
      </c>
    </row>
    <row r="165" spans="2:14" s="4" customFormat="1" ht="12.75" customHeight="1" x14ac:dyDescent="0.3">
      <c r="B165" s="7"/>
      <c r="C165" s="4" t="s">
        <v>454</v>
      </c>
      <c r="D165" s="6" t="s">
        <v>322</v>
      </c>
      <c r="E165" s="6" t="s">
        <v>56</v>
      </c>
      <c r="F165" s="253">
        <v>0</v>
      </c>
      <c r="G165" s="253">
        <v>0</v>
      </c>
      <c r="H165" s="253">
        <v>0</v>
      </c>
      <c r="I165" s="253">
        <v>0</v>
      </c>
      <c r="J165" s="253">
        <v>0</v>
      </c>
      <c r="K165" s="253">
        <v>54.965759999999996</v>
      </c>
      <c r="L165" s="253">
        <v>0</v>
      </c>
      <c r="M165" s="253">
        <v>0</v>
      </c>
      <c r="N165" s="253">
        <v>0</v>
      </c>
    </row>
    <row r="166" spans="2:14" s="4" customFormat="1" ht="12.75" customHeight="1" x14ac:dyDescent="0.3">
      <c r="B166" s="7"/>
      <c r="C166" s="4" t="s">
        <v>455</v>
      </c>
      <c r="D166" s="6" t="s">
        <v>322</v>
      </c>
      <c r="E166" s="6" t="s">
        <v>56</v>
      </c>
      <c r="F166" s="253">
        <v>0</v>
      </c>
      <c r="G166" s="253">
        <v>0</v>
      </c>
      <c r="H166" s="253">
        <v>0</v>
      </c>
      <c r="I166" s="253">
        <v>0</v>
      </c>
      <c r="J166" s="253">
        <v>0</v>
      </c>
      <c r="K166" s="253">
        <v>48.918490000000006</v>
      </c>
      <c r="L166" s="253">
        <v>0</v>
      </c>
      <c r="M166" s="253">
        <v>0</v>
      </c>
      <c r="N166" s="253">
        <v>0</v>
      </c>
    </row>
    <row r="167" spans="2:14" s="4" customFormat="1" ht="12.75" customHeight="1" x14ac:dyDescent="0.3">
      <c r="B167" s="7"/>
      <c r="C167" s="4" t="s">
        <v>456</v>
      </c>
      <c r="D167" s="6" t="s">
        <v>322</v>
      </c>
      <c r="E167" s="6" t="s">
        <v>56</v>
      </c>
      <c r="F167" s="253">
        <v>0</v>
      </c>
      <c r="G167" s="253">
        <v>0</v>
      </c>
      <c r="H167" s="253">
        <v>0</v>
      </c>
      <c r="I167" s="253">
        <v>0</v>
      </c>
      <c r="J167" s="253">
        <v>0</v>
      </c>
      <c r="K167" s="253">
        <v>0</v>
      </c>
      <c r="L167" s="253">
        <v>20.53397</v>
      </c>
      <c r="M167" s="253">
        <v>0</v>
      </c>
      <c r="N167" s="253">
        <v>0</v>
      </c>
    </row>
    <row r="168" spans="2:14" s="4" customFormat="1" ht="12.75" customHeight="1" x14ac:dyDescent="0.3">
      <c r="B168" s="7"/>
      <c r="C168" s="4" t="s">
        <v>457</v>
      </c>
      <c r="D168" s="6" t="s">
        <v>322</v>
      </c>
      <c r="E168" s="6" t="s">
        <v>56</v>
      </c>
      <c r="F168" s="253">
        <v>0</v>
      </c>
      <c r="G168" s="253">
        <v>0</v>
      </c>
      <c r="H168" s="253">
        <v>0</v>
      </c>
      <c r="I168" s="253">
        <v>0</v>
      </c>
      <c r="J168" s="253">
        <v>0</v>
      </c>
      <c r="K168" s="253">
        <v>0</v>
      </c>
      <c r="L168" s="253">
        <v>462.70290999999997</v>
      </c>
      <c r="M168" s="253">
        <v>0</v>
      </c>
      <c r="N168" s="253">
        <v>0</v>
      </c>
    </row>
    <row r="169" spans="2:14" s="4" customFormat="1" ht="12.75" customHeight="1" x14ac:dyDescent="0.3">
      <c r="B169" s="7"/>
      <c r="C169" s="4" t="s">
        <v>458</v>
      </c>
      <c r="D169" s="6" t="s">
        <v>322</v>
      </c>
      <c r="E169" s="6" t="s">
        <v>56</v>
      </c>
      <c r="F169" s="253">
        <v>0</v>
      </c>
      <c r="G169" s="253">
        <v>0</v>
      </c>
      <c r="H169" s="253">
        <v>0</v>
      </c>
      <c r="I169" s="253">
        <v>0</v>
      </c>
      <c r="J169" s="253">
        <v>0</v>
      </c>
      <c r="K169" s="253">
        <v>0</v>
      </c>
      <c r="L169" s="253">
        <v>0</v>
      </c>
      <c r="M169" s="253">
        <v>0</v>
      </c>
      <c r="N169" s="253">
        <v>160.5</v>
      </c>
    </row>
    <row r="170" spans="2:14" s="4" customFormat="1" ht="12.75" customHeight="1" x14ac:dyDescent="0.3">
      <c r="B170" s="7"/>
      <c r="C170" s="4" t="s">
        <v>459</v>
      </c>
      <c r="D170" s="6" t="s">
        <v>322</v>
      </c>
      <c r="E170" s="6" t="s">
        <v>56</v>
      </c>
      <c r="F170" s="253">
        <v>0</v>
      </c>
      <c r="G170" s="253">
        <v>0</v>
      </c>
      <c r="H170" s="253">
        <v>0</v>
      </c>
      <c r="I170" s="253">
        <v>0</v>
      </c>
      <c r="J170" s="253">
        <v>0</v>
      </c>
      <c r="K170" s="253">
        <v>0</v>
      </c>
      <c r="L170" s="253">
        <v>0</v>
      </c>
      <c r="M170" s="253">
        <v>0</v>
      </c>
      <c r="N170" s="253">
        <v>1559.9973300000001</v>
      </c>
    </row>
    <row r="171" spans="2:14" s="4" customFormat="1" ht="12.75" customHeight="1" x14ac:dyDescent="0.3">
      <c r="B171" s="7"/>
      <c r="C171" s="4" t="s">
        <v>460</v>
      </c>
      <c r="D171" s="6" t="s">
        <v>322</v>
      </c>
      <c r="E171" s="6" t="s">
        <v>56</v>
      </c>
      <c r="F171" s="253">
        <v>0</v>
      </c>
      <c r="G171" s="253">
        <v>0</v>
      </c>
      <c r="H171" s="253">
        <v>0</v>
      </c>
      <c r="I171" s="253">
        <v>0</v>
      </c>
      <c r="J171" s="253">
        <v>0</v>
      </c>
      <c r="K171" s="253">
        <v>0</v>
      </c>
      <c r="L171" s="253">
        <v>0</v>
      </c>
      <c r="M171" s="253">
        <v>0</v>
      </c>
      <c r="N171" s="253">
        <v>564.25662999999997</v>
      </c>
    </row>
    <row r="172" spans="2:14" s="4" customFormat="1" ht="12.75" customHeight="1" x14ac:dyDescent="0.3">
      <c r="B172" s="7"/>
      <c r="C172" s="4" t="s">
        <v>461</v>
      </c>
      <c r="D172" s="6" t="s">
        <v>322</v>
      </c>
      <c r="E172" s="6" t="s">
        <v>56</v>
      </c>
      <c r="F172" s="253">
        <v>0</v>
      </c>
      <c r="G172" s="253">
        <v>0</v>
      </c>
      <c r="H172" s="253">
        <v>0</v>
      </c>
      <c r="I172" s="253">
        <v>0</v>
      </c>
      <c r="J172" s="253">
        <v>0</v>
      </c>
      <c r="K172" s="253">
        <v>0</v>
      </c>
      <c r="L172" s="253">
        <v>0</v>
      </c>
      <c r="M172" s="253">
        <v>0</v>
      </c>
      <c r="N172" s="253">
        <v>118.34872</v>
      </c>
    </row>
    <row r="173" spans="2:14" s="4" customFormat="1" ht="12.75" customHeight="1" x14ac:dyDescent="0.3">
      <c r="B173" s="7"/>
      <c r="C173" s="4" t="s">
        <v>462</v>
      </c>
      <c r="D173" s="6" t="s">
        <v>322</v>
      </c>
      <c r="E173" s="6" t="s">
        <v>56</v>
      </c>
      <c r="F173" s="253">
        <v>3.5990000000000002</v>
      </c>
      <c r="G173" s="253">
        <v>286.28031249976482</v>
      </c>
      <c r="H173" s="253">
        <v>2938.5862475002355</v>
      </c>
      <c r="I173" s="253">
        <v>52.464299999999817</v>
      </c>
      <c r="J173" s="253">
        <v>486.09219999999999</v>
      </c>
      <c r="K173" s="253">
        <v>589.76963000000001</v>
      </c>
      <c r="L173" s="253">
        <v>-2807.77306</v>
      </c>
      <c r="M173" s="253">
        <v>104.07442999999999</v>
      </c>
      <c r="N173" s="253">
        <v>0</v>
      </c>
    </row>
    <row r="174" spans="2:14" s="4" customFormat="1" ht="12.75" customHeight="1" collapsed="1" x14ac:dyDescent="0.25">
      <c r="F174" s="8"/>
      <c r="G174" s="205"/>
      <c r="H174" s="205"/>
      <c r="I174" s="205"/>
      <c r="J174" s="205"/>
      <c r="K174" s="205"/>
      <c r="L174" s="205"/>
      <c r="M174" s="205"/>
      <c r="N174" s="205"/>
    </row>
    <row r="175" spans="2:14" s="7" customFormat="1" ht="13" x14ac:dyDescent="0.3">
      <c r="C175" s="229" t="s">
        <v>463</v>
      </c>
      <c r="D175" s="257" t="s">
        <v>322</v>
      </c>
      <c r="E175" s="257" t="s">
        <v>56</v>
      </c>
      <c r="F175" s="259">
        <f>+SUM(F13:F173)</f>
        <v>7309.254284256529</v>
      </c>
      <c r="G175" s="259">
        <f t="shared" ref="G175:N175" si="1">+SUM(G13:G173)</f>
        <v>4023.6200243422591</v>
      </c>
      <c r="H175" s="259">
        <f t="shared" si="1"/>
        <v>19766.275801401214</v>
      </c>
      <c r="I175" s="259">
        <f t="shared" si="1"/>
        <v>17178.122220000001</v>
      </c>
      <c r="J175" s="259">
        <f t="shared" si="1"/>
        <v>157784.40124000001</v>
      </c>
      <c r="K175" s="259">
        <f t="shared" si="1"/>
        <v>261265.44573000001</v>
      </c>
      <c r="L175" s="259">
        <f t="shared" si="1"/>
        <v>20827.84936</v>
      </c>
      <c r="M175" s="259">
        <f t="shared" si="1"/>
        <v>2324.6235700000007</v>
      </c>
      <c r="N175" s="259">
        <f t="shared" si="1"/>
        <v>3031.1637599999913</v>
      </c>
    </row>
    <row r="176" spans="2:14" s="7" customFormat="1" ht="13" x14ac:dyDescent="0.3">
      <c r="C176" s="229" t="s">
        <v>471</v>
      </c>
      <c r="D176" s="257" t="s">
        <v>322</v>
      </c>
      <c r="E176" s="257" t="s">
        <v>56</v>
      </c>
      <c r="F176" s="259">
        <f>+SUM(F9:F173)</f>
        <v>65618.022284256542</v>
      </c>
      <c r="G176" s="259">
        <f t="shared" ref="G176:N176" si="2">+SUM(G9:G173)</f>
        <v>4023.6200243422591</v>
      </c>
      <c r="H176" s="259">
        <f t="shared" si="2"/>
        <v>19766.275801401214</v>
      </c>
      <c r="I176" s="259">
        <f t="shared" si="2"/>
        <v>17178.122220000001</v>
      </c>
      <c r="J176" s="259">
        <f t="shared" si="2"/>
        <v>157784.40124000001</v>
      </c>
      <c r="K176" s="259">
        <f t="shared" si="2"/>
        <v>261265.44573000001</v>
      </c>
      <c r="L176" s="259">
        <f t="shared" si="2"/>
        <v>20827.84936</v>
      </c>
      <c r="M176" s="259">
        <f t="shared" si="2"/>
        <v>2324.6235700000007</v>
      </c>
      <c r="N176" s="259">
        <f t="shared" si="2"/>
        <v>3031.1637599999913</v>
      </c>
    </row>
    <row r="177" spans="3:3" x14ac:dyDescent="0.3">
      <c r="C177" s="4" t="s">
        <v>242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4082-CB55-4CA4-BAEA-7B693998F049}">
  <dimension ref="B1:N177"/>
  <sheetViews>
    <sheetView showGridLines="0" zoomScale="70" zoomScaleNormal="70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B4" sqref="B4"/>
    </sheetView>
  </sheetViews>
  <sheetFormatPr defaultColWidth="10.6640625" defaultRowHeight="14" x14ac:dyDescent="0.3"/>
  <cols>
    <col min="1" max="1" width="4.33203125" customWidth="1"/>
    <col min="2" max="2" width="3.75" customWidth="1"/>
    <col min="3" max="3" width="33.33203125" customWidth="1"/>
  </cols>
  <sheetData>
    <row r="1" spans="2:14" x14ac:dyDescent="0.3">
      <c r="B1" s="58"/>
      <c r="C1" s="58"/>
      <c r="D1" s="59"/>
      <c r="E1" s="59"/>
      <c r="F1" s="60">
        <v>2011</v>
      </c>
      <c r="G1" s="60">
        <f t="shared" ref="G1:N1" si="0">+F1+1</f>
        <v>2012</v>
      </c>
      <c r="H1" s="60">
        <f t="shared" si="0"/>
        <v>2013</v>
      </c>
      <c r="I1" s="60">
        <f t="shared" si="0"/>
        <v>2014</v>
      </c>
      <c r="J1" s="60">
        <f t="shared" si="0"/>
        <v>2015</v>
      </c>
      <c r="K1" s="60">
        <f t="shared" si="0"/>
        <v>2016</v>
      </c>
      <c r="L1" s="60">
        <f t="shared" si="0"/>
        <v>2017</v>
      </c>
      <c r="M1" s="60">
        <f t="shared" si="0"/>
        <v>2018</v>
      </c>
      <c r="N1" s="60">
        <f t="shared" si="0"/>
        <v>2019</v>
      </c>
    </row>
    <row r="2" spans="2:14" x14ac:dyDescent="0.3">
      <c r="B2" s="61"/>
      <c r="C2" s="61"/>
      <c r="D2" s="62" t="s">
        <v>2</v>
      </c>
      <c r="E2" s="62" t="s">
        <v>30</v>
      </c>
      <c r="F2" s="61"/>
      <c r="G2" s="61"/>
      <c r="H2" s="61"/>
      <c r="I2" s="61"/>
      <c r="J2" s="61"/>
      <c r="K2" s="61"/>
      <c r="L2" s="61"/>
      <c r="M2" s="61"/>
      <c r="N2" s="61"/>
    </row>
    <row r="3" spans="2:14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x14ac:dyDescent="0.3">
      <c r="B4" s="61" t="s">
        <v>548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2:14" x14ac:dyDescent="0.3">
      <c r="B5" s="4"/>
      <c r="C5" s="4"/>
      <c r="D5" s="4"/>
      <c r="E5" s="4"/>
      <c r="F5" s="8"/>
      <c r="G5" s="205"/>
      <c r="H5" s="205"/>
      <c r="I5" s="205"/>
      <c r="J5" s="205"/>
      <c r="K5" s="205"/>
      <c r="L5" s="205"/>
      <c r="M5" s="205"/>
      <c r="N5" s="205"/>
    </row>
    <row r="6" spans="2:14" x14ac:dyDescent="0.3">
      <c r="B6" s="3" t="s">
        <v>325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3">
      <c r="B7" s="4"/>
      <c r="C7" s="4"/>
      <c r="D7" s="4"/>
      <c r="E7" s="4"/>
      <c r="F7" s="8"/>
      <c r="G7" s="205"/>
      <c r="H7" s="205"/>
      <c r="I7" s="205"/>
      <c r="J7" s="205"/>
      <c r="K7" s="205"/>
      <c r="L7" s="205"/>
      <c r="M7" s="205"/>
      <c r="N7" s="205"/>
    </row>
    <row r="8" spans="2:14" x14ac:dyDescent="0.3">
      <c r="B8" s="7" t="s">
        <v>467</v>
      </c>
      <c r="C8" s="4"/>
      <c r="D8" s="4"/>
      <c r="E8" s="4"/>
      <c r="F8" s="8"/>
      <c r="G8" s="205"/>
      <c r="H8" s="205"/>
      <c r="I8" s="205"/>
      <c r="J8" s="205"/>
      <c r="K8" s="205"/>
      <c r="L8" s="205"/>
      <c r="M8" s="205"/>
      <c r="N8" s="205"/>
    </row>
    <row r="9" spans="2:14" x14ac:dyDescent="0.3">
      <c r="B9" s="4"/>
      <c r="C9" s="4" t="s">
        <v>468</v>
      </c>
      <c r="D9" s="6" t="s">
        <v>322</v>
      </c>
      <c r="E9" s="6" t="s">
        <v>56</v>
      </c>
      <c r="F9" s="64">
        <v>423.99929166666669</v>
      </c>
      <c r="G9" s="64">
        <v>1017.5982999999999</v>
      </c>
      <c r="H9" s="64">
        <v>1017.5982999999999</v>
      </c>
      <c r="I9" s="64">
        <v>1017.5982999999999</v>
      </c>
      <c r="J9" s="64">
        <v>1017.5982999999999</v>
      </c>
      <c r="K9" s="64">
        <v>1017.5982999999999</v>
      </c>
      <c r="L9" s="64">
        <v>1017.5982999999999</v>
      </c>
      <c r="M9" s="64">
        <v>1017.5982999999999</v>
      </c>
      <c r="N9" s="64">
        <v>1017.5982999999999</v>
      </c>
    </row>
    <row r="10" spans="2:14" x14ac:dyDescent="0.3">
      <c r="B10" s="4"/>
      <c r="C10" s="4" t="s">
        <v>64</v>
      </c>
      <c r="D10" s="6" t="s">
        <v>322</v>
      </c>
      <c r="E10" s="6" t="s">
        <v>56</v>
      </c>
      <c r="F10" s="64">
        <v>1157.5341249999999</v>
      </c>
      <c r="G10" s="64">
        <v>2778.0819000000006</v>
      </c>
      <c r="H10" s="64">
        <v>2778.0819000000006</v>
      </c>
      <c r="I10" s="64">
        <v>2778.0819000000006</v>
      </c>
      <c r="J10" s="64">
        <v>2778.0819000000006</v>
      </c>
      <c r="K10" s="64">
        <v>2778.0819000000006</v>
      </c>
      <c r="L10" s="64">
        <v>2778.0819000000006</v>
      </c>
      <c r="M10" s="64">
        <v>2778.0819000000006</v>
      </c>
      <c r="N10" s="64">
        <v>2778.0819000000006</v>
      </c>
    </row>
    <row r="11" spans="2:14" x14ac:dyDescent="0.3">
      <c r="B11" s="4"/>
      <c r="C11" s="4"/>
      <c r="D11" s="4"/>
      <c r="E11" s="4"/>
      <c r="F11" s="8"/>
      <c r="G11" s="205"/>
      <c r="H11" s="205"/>
      <c r="I11" s="205"/>
      <c r="J11" s="205"/>
      <c r="K11" s="205"/>
      <c r="L11" s="205"/>
      <c r="M11" s="205"/>
      <c r="N11" s="205"/>
    </row>
    <row r="12" spans="2:14" x14ac:dyDescent="0.3">
      <c r="B12" s="7" t="s">
        <v>324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x14ac:dyDescent="0.3">
      <c r="B13" s="4"/>
      <c r="C13" s="4" t="s">
        <v>317</v>
      </c>
      <c r="D13" s="6" t="s">
        <v>322</v>
      </c>
      <c r="E13" s="6" t="s">
        <v>56</v>
      </c>
      <c r="F13" s="64">
        <v>0</v>
      </c>
      <c r="G13" s="64">
        <v>6.1449975606193391E-2</v>
      </c>
      <c r="H13" s="64">
        <v>0.73740033245149905</v>
      </c>
      <c r="I13" s="64">
        <v>0.73740033245149905</v>
      </c>
      <c r="J13" s="64">
        <v>0.73740033245149905</v>
      </c>
      <c r="K13" s="64">
        <v>0.73740033245149905</v>
      </c>
      <c r="L13" s="64">
        <v>0.73740033245149905</v>
      </c>
      <c r="M13" s="64">
        <v>0.73740033245149905</v>
      </c>
      <c r="N13" s="64">
        <v>0.67595035684530691</v>
      </c>
    </row>
    <row r="14" spans="2:14" x14ac:dyDescent="0.3">
      <c r="B14" s="4"/>
      <c r="C14" s="4" t="s">
        <v>318</v>
      </c>
      <c r="D14" s="6" t="s">
        <v>322</v>
      </c>
      <c r="E14" s="6" t="s">
        <v>56</v>
      </c>
      <c r="F14" s="64">
        <v>0</v>
      </c>
      <c r="G14" s="64">
        <v>7.3583329380373409E-3</v>
      </c>
      <c r="H14" s="64">
        <v>8.8299995256448105E-2</v>
      </c>
      <c r="I14" s="64">
        <v>8.8299995256448105E-2</v>
      </c>
      <c r="J14" s="64">
        <v>8.8299995256448105E-2</v>
      </c>
      <c r="K14" s="64">
        <v>8.8299995256448105E-2</v>
      </c>
      <c r="L14" s="64">
        <v>8.8299995256448105E-2</v>
      </c>
      <c r="M14" s="64">
        <v>8.8299995256448105E-2</v>
      </c>
      <c r="N14" s="64">
        <v>8.8299995256448105E-2</v>
      </c>
    </row>
    <row r="15" spans="2:14" x14ac:dyDescent="0.3">
      <c r="B15" s="4"/>
      <c r="C15" s="4" t="s">
        <v>319</v>
      </c>
      <c r="D15" s="6" t="s">
        <v>322</v>
      </c>
      <c r="E15" s="6" t="s">
        <v>56</v>
      </c>
      <c r="F15" s="64">
        <v>0</v>
      </c>
      <c r="G15" s="64">
        <v>0</v>
      </c>
      <c r="H15" s="64">
        <v>5.3937901811949072</v>
      </c>
      <c r="I15" s="64">
        <v>9.2464974534769837</v>
      </c>
      <c r="J15" s="64">
        <v>9.2464974534769837</v>
      </c>
      <c r="K15" s="64">
        <v>9.2464974534769837</v>
      </c>
      <c r="L15" s="64">
        <v>9.2464974534769837</v>
      </c>
      <c r="M15" s="64">
        <v>9.2464974534769837</v>
      </c>
      <c r="N15" s="64">
        <v>9.2464974534769837</v>
      </c>
    </row>
    <row r="16" spans="2:14" x14ac:dyDescent="0.3">
      <c r="B16" s="4"/>
      <c r="C16" s="4" t="s">
        <v>321</v>
      </c>
      <c r="D16" s="6" t="s">
        <v>322</v>
      </c>
      <c r="E16" s="6" t="s">
        <v>56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0.79523809523809508</v>
      </c>
      <c r="L16" s="64">
        <v>1.1928571428571428</v>
      </c>
      <c r="M16" s="64">
        <v>1.1928571428571428</v>
      </c>
      <c r="N16" s="64">
        <v>1.1928571428571428</v>
      </c>
    </row>
    <row r="17" spans="2:14" x14ac:dyDescent="0.3">
      <c r="B17" s="4"/>
      <c r="C17" s="223" t="s">
        <v>344</v>
      </c>
      <c r="D17" s="254" t="s">
        <v>322</v>
      </c>
      <c r="E17" s="254" t="s">
        <v>56</v>
      </c>
      <c r="F17" s="256">
        <v>1.0949690719021639</v>
      </c>
      <c r="G17" s="256">
        <v>10.480057501439484</v>
      </c>
      <c r="H17" s="256">
        <v>12.546629892736568</v>
      </c>
      <c r="I17" s="256">
        <v>25.303579323255622</v>
      </c>
      <c r="J17" s="256">
        <v>25.302446704207998</v>
      </c>
      <c r="K17" s="256">
        <v>25.302446704207998</v>
      </c>
      <c r="L17" s="256">
        <v>25.302446704207998</v>
      </c>
      <c r="M17" s="256">
        <v>24.98788154955173</v>
      </c>
      <c r="N17" s="256">
        <v>0</v>
      </c>
    </row>
    <row r="18" spans="2:14" x14ac:dyDescent="0.3">
      <c r="B18" s="4"/>
      <c r="C18" s="223" t="s">
        <v>345</v>
      </c>
      <c r="D18" s="254" t="s">
        <v>322</v>
      </c>
      <c r="E18" s="254" t="s">
        <v>56</v>
      </c>
      <c r="F18" s="256">
        <v>3.1275442615894353</v>
      </c>
      <c r="G18" s="256">
        <v>64.050654242101174</v>
      </c>
      <c r="H18" s="256">
        <v>126.22854292265791</v>
      </c>
      <c r="I18" s="256">
        <v>157.02167000997969</v>
      </c>
      <c r="J18" s="256">
        <v>164.38108534490041</v>
      </c>
      <c r="K18" s="256">
        <v>163.13399240839243</v>
      </c>
      <c r="L18" s="256">
        <v>162.51741925486186</v>
      </c>
      <c r="M18" s="256">
        <v>160.83533353709046</v>
      </c>
      <c r="N18" s="256">
        <v>99.378316640420763</v>
      </c>
    </row>
    <row r="19" spans="2:14" x14ac:dyDescent="0.3">
      <c r="B19" s="4"/>
      <c r="C19" s="223" t="s">
        <v>346</v>
      </c>
      <c r="D19" s="254" t="s">
        <v>322</v>
      </c>
      <c r="E19" s="254" t="s">
        <v>56</v>
      </c>
      <c r="F19" s="256">
        <v>0</v>
      </c>
      <c r="G19" s="256">
        <v>19.608449583333336</v>
      </c>
      <c r="H19" s="256">
        <v>33.614485000000002</v>
      </c>
      <c r="I19" s="256">
        <v>14.006035416666666</v>
      </c>
      <c r="J19" s="256">
        <v>0</v>
      </c>
      <c r="K19" s="256">
        <v>1.793611111111111</v>
      </c>
      <c r="L19" s="256">
        <v>1.9566666666666668</v>
      </c>
      <c r="M19" s="256">
        <v>1.9566666666666668</v>
      </c>
      <c r="N19" s="256">
        <v>0.16305555555555498</v>
      </c>
    </row>
    <row r="20" spans="2:14" x14ac:dyDescent="0.3">
      <c r="B20" s="4"/>
      <c r="C20" s="223" t="s">
        <v>347</v>
      </c>
      <c r="D20" s="254" t="s">
        <v>322</v>
      </c>
      <c r="E20" s="254" t="s">
        <v>56</v>
      </c>
      <c r="F20" s="256">
        <v>0</v>
      </c>
      <c r="G20" s="256">
        <v>18.494818441793839</v>
      </c>
      <c r="H20" s="256">
        <v>27.996214962837527</v>
      </c>
      <c r="I20" s="256">
        <v>49.902669788085568</v>
      </c>
      <c r="J20" s="256">
        <v>58.412062401180805</v>
      </c>
      <c r="K20" s="256">
        <v>75.973290954752244</v>
      </c>
      <c r="L20" s="256">
        <v>80.89424333570463</v>
      </c>
      <c r="M20" s="256">
        <v>80.89424333570463</v>
      </c>
      <c r="N20" s="256">
        <v>78.764931757318777</v>
      </c>
    </row>
    <row r="21" spans="2:14" x14ac:dyDescent="0.3">
      <c r="B21" s="4"/>
      <c r="C21" s="4"/>
      <c r="D21" s="6"/>
      <c r="E21" s="6"/>
      <c r="F21" s="265"/>
      <c r="G21" s="265"/>
      <c r="H21" s="265"/>
      <c r="I21" s="265"/>
      <c r="J21" s="265"/>
      <c r="K21" s="265"/>
      <c r="L21" s="265"/>
      <c r="M21" s="265"/>
      <c r="N21" s="67"/>
    </row>
    <row r="22" spans="2:14" x14ac:dyDescent="0.3">
      <c r="B22" s="7" t="s">
        <v>320</v>
      </c>
      <c r="C22" s="71"/>
      <c r="D22" s="76"/>
      <c r="E22" s="76"/>
      <c r="F22" s="4"/>
      <c r="G22" s="69"/>
      <c r="H22" s="69"/>
      <c r="I22" s="4"/>
      <c r="J22" s="69"/>
      <c r="K22" s="69"/>
      <c r="L22" s="69"/>
      <c r="M22" s="69"/>
      <c r="N22" s="69" t="s">
        <v>466</v>
      </c>
    </row>
    <row r="23" spans="2:14" x14ac:dyDescent="0.3">
      <c r="B23" s="4"/>
      <c r="C23" s="71" t="s">
        <v>323</v>
      </c>
      <c r="D23" s="6" t="s">
        <v>322</v>
      </c>
      <c r="E23" s="6" t="s">
        <v>56</v>
      </c>
      <c r="F23" s="68">
        <v>0</v>
      </c>
      <c r="G23" s="68">
        <v>0</v>
      </c>
      <c r="H23" s="68">
        <v>8.0091285714285707</v>
      </c>
      <c r="I23" s="68">
        <v>21.307124404761904</v>
      </c>
      <c r="J23" s="68">
        <v>22.653807142857143</v>
      </c>
      <c r="K23" s="68">
        <v>23.213628571428568</v>
      </c>
      <c r="L23" s="68">
        <v>27.118449999999992</v>
      </c>
      <c r="M23" s="68">
        <v>27.468807142857141</v>
      </c>
      <c r="N23" s="68">
        <v>27.687972857142856</v>
      </c>
    </row>
    <row r="24" spans="2:14" x14ac:dyDescent="0.3">
      <c r="B24" s="4"/>
      <c r="C24" s="4" t="s">
        <v>326</v>
      </c>
      <c r="D24" s="6" t="s">
        <v>322</v>
      </c>
      <c r="E24" s="6" t="s">
        <v>56</v>
      </c>
      <c r="F24" s="253">
        <v>44.580597517833461</v>
      </c>
      <c r="G24" s="253">
        <v>127.04369130063905</v>
      </c>
      <c r="H24" s="253">
        <v>147.27396229510501</v>
      </c>
      <c r="I24" s="253">
        <v>144.85079912843838</v>
      </c>
      <c r="J24" s="253">
        <v>144.07396200000002</v>
      </c>
      <c r="K24" s="253">
        <v>79.986239772459285</v>
      </c>
      <c r="L24" s="253">
        <v>0</v>
      </c>
      <c r="M24" s="253">
        <v>0</v>
      </c>
      <c r="N24" s="253">
        <v>0</v>
      </c>
    </row>
    <row r="25" spans="2:14" x14ac:dyDescent="0.3">
      <c r="B25" s="4"/>
      <c r="C25" s="4" t="s">
        <v>327</v>
      </c>
      <c r="D25" s="6" t="s">
        <v>322</v>
      </c>
      <c r="E25" s="6" t="s">
        <v>56</v>
      </c>
      <c r="F25" s="253">
        <v>16.670978533875573</v>
      </c>
      <c r="G25" s="253">
        <v>101.06350112588314</v>
      </c>
      <c r="H25" s="253">
        <v>101.06350200000001</v>
      </c>
      <c r="I25" s="253">
        <v>101.06350200000001</v>
      </c>
      <c r="J25" s="253">
        <v>101.06350200000001</v>
      </c>
      <c r="K25" s="253">
        <v>84.39252434024128</v>
      </c>
      <c r="L25" s="253">
        <v>0</v>
      </c>
      <c r="M25" s="253">
        <v>0</v>
      </c>
      <c r="N25" s="253">
        <v>0</v>
      </c>
    </row>
    <row r="26" spans="2:14" x14ac:dyDescent="0.3">
      <c r="B26" s="4"/>
      <c r="C26" s="4" t="s">
        <v>328</v>
      </c>
      <c r="D26" s="6" t="s">
        <v>322</v>
      </c>
      <c r="E26" s="6" t="s">
        <v>56</v>
      </c>
      <c r="F26" s="253">
        <v>0.22575702861031866</v>
      </c>
      <c r="G26" s="253">
        <v>1.3685936712576936</v>
      </c>
      <c r="H26" s="253">
        <v>1.368592</v>
      </c>
      <c r="I26" s="253">
        <v>1.368592</v>
      </c>
      <c r="J26" s="253">
        <v>1.368592</v>
      </c>
      <c r="K26" s="253">
        <v>0</v>
      </c>
      <c r="L26" s="253">
        <v>0</v>
      </c>
      <c r="M26" s="253">
        <v>0</v>
      </c>
      <c r="N26" s="253">
        <v>0</v>
      </c>
    </row>
    <row r="27" spans="2:14" x14ac:dyDescent="0.3">
      <c r="B27" s="4"/>
      <c r="C27" s="4" t="s">
        <v>329</v>
      </c>
      <c r="D27" s="6" t="s">
        <v>322</v>
      </c>
      <c r="E27" s="6" t="s">
        <v>56</v>
      </c>
      <c r="F27" s="253">
        <v>0</v>
      </c>
      <c r="G27" s="253">
        <v>0</v>
      </c>
      <c r="H27" s="253">
        <v>3.5295540000000001</v>
      </c>
      <c r="I27" s="253">
        <v>3.5295540000000001</v>
      </c>
      <c r="J27" s="253">
        <v>3.5295540000000001</v>
      </c>
      <c r="K27" s="253">
        <v>3.5295540000000001</v>
      </c>
      <c r="L27" s="253">
        <v>3.5295540000000001</v>
      </c>
      <c r="M27" s="253">
        <v>0</v>
      </c>
      <c r="N27" s="253">
        <v>0</v>
      </c>
    </row>
    <row r="28" spans="2:14" x14ac:dyDescent="0.3">
      <c r="B28" s="4"/>
      <c r="C28" s="4" t="s">
        <v>330</v>
      </c>
      <c r="D28" s="6" t="s">
        <v>322</v>
      </c>
      <c r="E28" s="6" t="s">
        <v>56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6.6727430000000014</v>
      </c>
      <c r="L28" s="253">
        <v>11.438988000000002</v>
      </c>
      <c r="M28" s="253">
        <v>11.438988000000002</v>
      </c>
      <c r="N28" s="253">
        <v>11.438988000000002</v>
      </c>
    </row>
    <row r="29" spans="2:14" x14ac:dyDescent="0.3">
      <c r="B29" s="4"/>
      <c r="C29" s="71" t="s">
        <v>63</v>
      </c>
      <c r="D29" s="6" t="s">
        <v>322</v>
      </c>
      <c r="E29" s="6" t="s">
        <v>56</v>
      </c>
      <c r="F29" s="68">
        <v>22.141019699037525</v>
      </c>
      <c r="G29" s="68">
        <v>104.26285933602689</v>
      </c>
      <c r="H29" s="68">
        <v>128.81584936705815</v>
      </c>
      <c r="I29" s="68">
        <v>118.50289205030832</v>
      </c>
      <c r="J29" s="68">
        <v>67.444973086586785</v>
      </c>
      <c r="K29" s="68">
        <v>126.9562197222222</v>
      </c>
      <c r="L29" s="68">
        <v>302.13858166666819</v>
      </c>
      <c r="M29" s="68">
        <v>459.63687916666822</v>
      </c>
      <c r="N29" s="68">
        <v>541.98129714285722</v>
      </c>
    </row>
    <row r="30" spans="2:14" x14ac:dyDescent="0.3">
      <c r="B30" s="4"/>
      <c r="C30" s="4" t="s">
        <v>331</v>
      </c>
      <c r="D30" s="6" t="s">
        <v>322</v>
      </c>
      <c r="E30" s="6" t="s">
        <v>56</v>
      </c>
      <c r="F30" s="253">
        <v>0</v>
      </c>
      <c r="G30" s="253">
        <v>0</v>
      </c>
      <c r="H30" s="253">
        <v>21.637609166666664</v>
      </c>
      <c r="I30" s="253">
        <v>37.093044285714285</v>
      </c>
      <c r="J30" s="253">
        <v>37.093044285714285</v>
      </c>
      <c r="K30" s="253">
        <v>37.093044285714285</v>
      </c>
      <c r="L30" s="253">
        <v>37.093044285714285</v>
      </c>
      <c r="M30" s="253">
        <v>37.093044285714285</v>
      </c>
      <c r="N30" s="253">
        <v>37.093044285714285</v>
      </c>
    </row>
    <row r="31" spans="2:14" x14ac:dyDescent="0.3">
      <c r="B31" s="4"/>
      <c r="C31" s="4" t="s">
        <v>332</v>
      </c>
      <c r="D31" s="6" t="s">
        <v>322</v>
      </c>
      <c r="E31" s="6" t="s">
        <v>56</v>
      </c>
      <c r="F31" s="253">
        <v>0</v>
      </c>
      <c r="G31" s="253">
        <v>0.14391111111111113</v>
      </c>
      <c r="H31" s="253">
        <v>0.34538666666666668</v>
      </c>
      <c r="I31" s="253">
        <v>0.34538666666666668</v>
      </c>
      <c r="J31" s="253">
        <v>0.2014755555555556</v>
      </c>
      <c r="K31" s="253">
        <v>0</v>
      </c>
      <c r="L31" s="253">
        <v>0</v>
      </c>
      <c r="M31" s="253">
        <v>0</v>
      </c>
      <c r="N31" s="253">
        <v>0</v>
      </c>
    </row>
    <row r="32" spans="2:14" x14ac:dyDescent="0.3">
      <c r="B32" s="4"/>
      <c r="C32" s="4" t="s">
        <v>333</v>
      </c>
      <c r="D32" s="6" t="s">
        <v>322</v>
      </c>
      <c r="E32" s="6" t="s">
        <v>56</v>
      </c>
      <c r="F32" s="253">
        <v>0</v>
      </c>
      <c r="G32" s="253">
        <v>11.433534722222221</v>
      </c>
      <c r="H32" s="253">
        <v>27.440483333333326</v>
      </c>
      <c r="I32" s="253">
        <v>2.7489544444444438</v>
      </c>
      <c r="J32" s="253">
        <v>-40.110162500000008</v>
      </c>
      <c r="K32" s="253">
        <v>0</v>
      </c>
      <c r="L32" s="253">
        <v>0</v>
      </c>
      <c r="M32" s="253">
        <v>0</v>
      </c>
      <c r="N32" s="253">
        <v>0</v>
      </c>
    </row>
    <row r="33" spans="2:14" x14ac:dyDescent="0.3">
      <c r="B33" s="4"/>
      <c r="C33" s="4" t="s">
        <v>334</v>
      </c>
      <c r="D33" s="6" t="s">
        <v>322</v>
      </c>
      <c r="E33" s="6" t="s">
        <v>56</v>
      </c>
      <c r="F33" s="253">
        <v>0</v>
      </c>
      <c r="G33" s="253">
        <v>7.4309523809523798E-2</v>
      </c>
      <c r="H33" s="253">
        <v>0.44585714285714284</v>
      </c>
      <c r="I33" s="253">
        <v>0.44585714285714284</v>
      </c>
      <c r="J33" s="253">
        <v>0.44585714285714284</v>
      </c>
      <c r="K33" s="253">
        <v>0.44585714285714284</v>
      </c>
      <c r="L33" s="253">
        <v>0.44585714285714284</v>
      </c>
      <c r="M33" s="253">
        <v>0.44585714285714284</v>
      </c>
      <c r="N33" s="253">
        <v>0.37154761904761935</v>
      </c>
    </row>
    <row r="34" spans="2:14" x14ac:dyDescent="0.3">
      <c r="B34" s="4"/>
      <c r="C34" s="4" t="s">
        <v>335</v>
      </c>
      <c r="D34" s="6" t="s">
        <v>322</v>
      </c>
      <c r="E34" s="6" t="s">
        <v>56</v>
      </c>
      <c r="F34" s="253">
        <v>0</v>
      </c>
      <c r="G34" s="253">
        <v>0</v>
      </c>
      <c r="H34" s="253">
        <v>52.400004761904754</v>
      </c>
      <c r="I34" s="253">
        <v>78.600007142857137</v>
      </c>
      <c r="J34" s="253">
        <v>78.600007142857137</v>
      </c>
      <c r="K34" s="253">
        <v>78.600007142857137</v>
      </c>
      <c r="L34" s="253">
        <v>78.600007142857137</v>
      </c>
      <c r="M34" s="253">
        <v>78.600007142857137</v>
      </c>
      <c r="N34" s="253">
        <v>78.600007142857137</v>
      </c>
    </row>
    <row r="35" spans="2:14" x14ac:dyDescent="0.3">
      <c r="B35" s="4"/>
      <c r="C35" s="4" t="s">
        <v>336</v>
      </c>
      <c r="D35" s="6" t="s">
        <v>322</v>
      </c>
      <c r="E35" s="6" t="s">
        <v>56</v>
      </c>
      <c r="F35" s="253">
        <v>0</v>
      </c>
      <c r="G35" s="253">
        <v>0</v>
      </c>
      <c r="H35" s="253">
        <v>0</v>
      </c>
      <c r="I35" s="253">
        <v>21.422157857142857</v>
      </c>
      <c r="J35" s="253">
        <v>28.562877142857143</v>
      </c>
      <c r="K35" s="253">
        <v>31.037877142857145</v>
      </c>
      <c r="L35" s="253">
        <v>31.262877142857143</v>
      </c>
      <c r="M35" s="253">
        <v>31.262877142857143</v>
      </c>
      <c r="N35" s="253">
        <v>31.262877142857143</v>
      </c>
    </row>
    <row r="36" spans="2:14" x14ac:dyDescent="0.3">
      <c r="B36" s="4"/>
      <c r="C36" s="4" t="s">
        <v>337</v>
      </c>
      <c r="D36" s="6" t="s">
        <v>322</v>
      </c>
      <c r="E36" s="6" t="s">
        <v>56</v>
      </c>
      <c r="F36" s="253">
        <v>0</v>
      </c>
      <c r="G36" s="253">
        <v>0</v>
      </c>
      <c r="H36" s="253">
        <v>0</v>
      </c>
      <c r="I36" s="253">
        <v>23.953812857142857</v>
      </c>
      <c r="J36" s="253">
        <v>23.953812857142857</v>
      </c>
      <c r="K36" s="253">
        <v>23.953812857142857</v>
      </c>
      <c r="L36" s="253">
        <v>23.953812857142857</v>
      </c>
      <c r="M36" s="253">
        <v>23.953812857142857</v>
      </c>
      <c r="N36" s="253">
        <v>23.953812857142857</v>
      </c>
    </row>
    <row r="37" spans="2:14" x14ac:dyDescent="0.3">
      <c r="B37" s="4"/>
      <c r="C37" s="4" t="s">
        <v>338</v>
      </c>
      <c r="D37" s="6" t="s">
        <v>322</v>
      </c>
      <c r="E37" s="6" t="s">
        <v>56</v>
      </c>
      <c r="F37" s="253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0.49976523809523804</v>
      </c>
      <c r="L37" s="253">
        <v>2.9985914285714284</v>
      </c>
      <c r="M37" s="253">
        <v>2.9985914285714284</v>
      </c>
      <c r="N37" s="253">
        <v>2.9985914285714284</v>
      </c>
    </row>
    <row r="38" spans="2:14" x14ac:dyDescent="0.3">
      <c r="B38" s="4"/>
      <c r="C38" s="4" t="s">
        <v>339</v>
      </c>
      <c r="D38" s="6" t="s">
        <v>322</v>
      </c>
      <c r="E38" s="6" t="s">
        <v>56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3.8536800000000002</v>
      </c>
      <c r="L38" s="253">
        <v>5.7805200000000001</v>
      </c>
      <c r="M38" s="253">
        <v>5.7805200000000001</v>
      </c>
      <c r="N38" s="253">
        <v>5.7805200000000001</v>
      </c>
    </row>
    <row r="39" spans="2:14" x14ac:dyDescent="0.3">
      <c r="B39" s="4"/>
      <c r="C39" s="4" t="s">
        <v>340</v>
      </c>
      <c r="D39" s="6" t="s">
        <v>322</v>
      </c>
      <c r="E39" s="6" t="s">
        <v>56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10.782740624999999</v>
      </c>
      <c r="L39" s="253">
        <v>25.173175000000001</v>
      </c>
      <c r="M39" s="253">
        <v>25.173175000000001</v>
      </c>
      <c r="N39" s="253">
        <v>25.173175000000001</v>
      </c>
    </row>
    <row r="40" spans="2:14" x14ac:dyDescent="0.3">
      <c r="B40" s="4"/>
      <c r="C40" s="4" t="s">
        <v>341</v>
      </c>
      <c r="D40" s="6" t="s">
        <v>322</v>
      </c>
      <c r="E40" s="6" t="s">
        <v>56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3.2825361904761898</v>
      </c>
      <c r="L40" s="253">
        <v>3.5809485714285709</v>
      </c>
      <c r="M40" s="253">
        <v>3.5809485714285709</v>
      </c>
      <c r="N40" s="253">
        <v>3.5809485714285709</v>
      </c>
    </row>
    <row r="41" spans="2:14" x14ac:dyDescent="0.3">
      <c r="B41" s="4"/>
      <c r="C41" s="4" t="s">
        <v>342</v>
      </c>
      <c r="D41" s="6" t="s">
        <v>322</v>
      </c>
      <c r="E41" s="6" t="s">
        <v>56</v>
      </c>
      <c r="F41" s="253">
        <v>0</v>
      </c>
      <c r="G41" s="253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4.5353821428571424</v>
      </c>
      <c r="M41" s="253">
        <v>7.1436214285714277</v>
      </c>
      <c r="N41" s="253">
        <v>7.1436214285714277</v>
      </c>
    </row>
    <row r="42" spans="2:14" x14ac:dyDescent="0.3">
      <c r="B42" s="4"/>
      <c r="C42" s="4" t="s">
        <v>343</v>
      </c>
      <c r="D42" s="6" t="s">
        <v>322</v>
      </c>
      <c r="E42" s="6" t="s">
        <v>56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3">
        <v>5.1224766666666666</v>
      </c>
    </row>
    <row r="43" spans="2:14" x14ac:dyDescent="0.3">
      <c r="B43" s="4"/>
      <c r="C43" s="223" t="s">
        <v>61</v>
      </c>
      <c r="D43" s="254" t="s">
        <v>322</v>
      </c>
      <c r="E43" s="254" t="s">
        <v>56</v>
      </c>
      <c r="F43" s="264">
        <v>8.1567333572723424</v>
      </c>
      <c r="G43" s="264">
        <v>77.272829091879046</v>
      </c>
      <c r="H43" s="264">
        <v>90.207555432893088</v>
      </c>
      <c r="I43" s="264">
        <v>93.141217491973009</v>
      </c>
      <c r="J43" s="264">
        <v>91.816037680857008</v>
      </c>
      <c r="K43" s="264">
        <v>88.288986752285808</v>
      </c>
      <c r="L43" s="264">
        <v>51.334884442761258</v>
      </c>
      <c r="M43" s="264">
        <v>0</v>
      </c>
      <c r="N43" s="264">
        <v>0</v>
      </c>
    </row>
    <row r="44" spans="2:14" x14ac:dyDescent="0.3">
      <c r="B44" s="7"/>
      <c r="C44" s="223" t="s">
        <v>62</v>
      </c>
      <c r="D44" s="254" t="s">
        <v>322</v>
      </c>
      <c r="E44" s="254" t="s">
        <v>56</v>
      </c>
      <c r="F44" s="264">
        <v>17.062549563438957</v>
      </c>
      <c r="G44" s="264">
        <v>305.83764955538805</v>
      </c>
      <c r="H44" s="264">
        <v>427.05231805559555</v>
      </c>
      <c r="I44" s="264">
        <v>629.3520448510551</v>
      </c>
      <c r="J44" s="264">
        <v>209.49837094394996</v>
      </c>
      <c r="K44" s="264">
        <v>263.50816324244789</v>
      </c>
      <c r="L44" s="264">
        <v>179.30583707578083</v>
      </c>
      <c r="M44" s="264">
        <v>120.02495846496312</v>
      </c>
      <c r="N44" s="264">
        <v>0</v>
      </c>
    </row>
    <row r="45" spans="2:14" x14ac:dyDescent="0.3">
      <c r="B45" s="4"/>
      <c r="C45" s="223" t="s">
        <v>348</v>
      </c>
      <c r="D45" s="254" t="s">
        <v>322</v>
      </c>
      <c r="E45" s="254" t="s">
        <v>56</v>
      </c>
      <c r="F45" s="264">
        <v>0.91170323336581127</v>
      </c>
      <c r="G45" s="264">
        <v>5.5901667700323809</v>
      </c>
      <c r="H45" s="264">
        <v>5.7563183491085184</v>
      </c>
      <c r="I45" s="264">
        <v>5.7563183491085184</v>
      </c>
      <c r="J45" s="264">
        <v>5.6377266824418522</v>
      </c>
      <c r="K45" s="264">
        <v>5.471698349108518</v>
      </c>
      <c r="L45" s="264">
        <v>5.471698349108518</v>
      </c>
      <c r="M45" s="264">
        <v>4.5601183614855154</v>
      </c>
      <c r="N45" s="264">
        <v>0</v>
      </c>
    </row>
    <row r="46" spans="2:14" x14ac:dyDescent="0.3">
      <c r="B46" s="4"/>
      <c r="C46" s="223" t="s">
        <v>349</v>
      </c>
      <c r="D46" s="254" t="s">
        <v>322</v>
      </c>
      <c r="E46" s="254" t="s">
        <v>56</v>
      </c>
      <c r="F46" s="264">
        <v>0.64182723108983697</v>
      </c>
      <c r="G46" s="264">
        <v>3.8875827653726489</v>
      </c>
      <c r="H46" s="264">
        <v>14.487935609335874</v>
      </c>
      <c r="I46" s="264">
        <v>98.933594656954924</v>
      </c>
      <c r="J46" s="264">
        <v>98.933594656954924</v>
      </c>
      <c r="K46" s="264">
        <v>98.295096460304563</v>
      </c>
      <c r="L46" s="264">
        <v>95.042682857142879</v>
      </c>
      <c r="M46" s="264">
        <v>95.042682857142879</v>
      </c>
      <c r="N46" s="264">
        <v>95.042682857142879</v>
      </c>
    </row>
    <row r="47" spans="2:14" x14ac:dyDescent="0.3">
      <c r="B47" s="4"/>
      <c r="C47" s="223" t="s">
        <v>350</v>
      </c>
      <c r="D47" s="254" t="s">
        <v>322</v>
      </c>
      <c r="E47" s="254" t="s">
        <v>56</v>
      </c>
      <c r="F47" s="264">
        <v>0</v>
      </c>
      <c r="G47" s="264">
        <v>16.215400764386015</v>
      </c>
      <c r="H47" s="264">
        <v>25.678925238095239</v>
      </c>
      <c r="I47" s="264">
        <v>50.334599801587302</v>
      </c>
      <c r="J47" s="264">
        <v>48.66930253968254</v>
      </c>
      <c r="K47" s="264">
        <v>52.04269142857143</v>
      </c>
      <c r="L47" s="264">
        <v>52.04269142857143</v>
      </c>
      <c r="M47" s="264">
        <v>51.767691428571432</v>
      </c>
      <c r="N47" s="264">
        <v>36.847985108629871</v>
      </c>
    </row>
    <row r="48" spans="2:14" x14ac:dyDescent="0.3">
      <c r="B48" s="4"/>
      <c r="C48" s="223" t="s">
        <v>351</v>
      </c>
      <c r="D48" s="254" t="s">
        <v>322</v>
      </c>
      <c r="E48" s="254" t="s">
        <v>56</v>
      </c>
      <c r="F48" s="264">
        <v>0.42141380193218148</v>
      </c>
      <c r="G48" s="264">
        <v>5.3375946169870057</v>
      </c>
      <c r="H48" s="264">
        <v>21.914311874646351</v>
      </c>
      <c r="I48" s="264">
        <v>32.726524914328891</v>
      </c>
      <c r="J48" s="264">
        <v>37.28542705718602</v>
      </c>
      <c r="K48" s="264">
        <v>40.118407438138405</v>
      </c>
      <c r="L48" s="264">
        <v>40.110863771471742</v>
      </c>
      <c r="M48" s="264">
        <v>36.483237938138409</v>
      </c>
      <c r="N48" s="264">
        <v>34.378819223378628</v>
      </c>
    </row>
    <row r="49" spans="2:14" x14ac:dyDescent="0.3">
      <c r="B49" s="4"/>
      <c r="C49" s="223" t="s">
        <v>352</v>
      </c>
      <c r="D49" s="254" t="s">
        <v>322</v>
      </c>
      <c r="E49" s="254" t="s">
        <v>56</v>
      </c>
      <c r="F49" s="264">
        <v>0</v>
      </c>
      <c r="G49" s="264">
        <v>0</v>
      </c>
      <c r="H49" s="264">
        <v>17.590806666666666</v>
      </c>
      <c r="I49" s="264">
        <v>57.962922083333339</v>
      </c>
      <c r="J49" s="264">
        <v>58.471136000000008</v>
      </c>
      <c r="K49" s="264">
        <v>84.875336952380948</v>
      </c>
      <c r="L49" s="264">
        <v>0</v>
      </c>
      <c r="M49" s="264">
        <v>0</v>
      </c>
      <c r="N49" s="264">
        <v>0</v>
      </c>
    </row>
    <row r="50" spans="2:14" x14ac:dyDescent="0.3">
      <c r="B50" s="4"/>
      <c r="C50" s="4"/>
      <c r="D50" s="4"/>
      <c r="E50" s="4"/>
      <c r="F50" s="260"/>
      <c r="G50" s="260"/>
      <c r="H50" s="261"/>
      <c r="I50" s="261"/>
      <c r="J50" s="261"/>
      <c r="K50" s="261"/>
      <c r="L50" s="261"/>
      <c r="M50" s="261"/>
      <c r="N50" s="260"/>
    </row>
    <row r="51" spans="2:14" x14ac:dyDescent="0.3">
      <c r="B51" s="7" t="s">
        <v>353</v>
      </c>
      <c r="C51" s="7"/>
      <c r="D51" s="243"/>
      <c r="E51" s="243"/>
      <c r="F51" s="8"/>
      <c r="G51" s="70"/>
      <c r="H51" s="70"/>
      <c r="I51" s="70"/>
      <c r="J51" s="262"/>
      <c r="K51" s="70"/>
      <c r="L51" s="70"/>
      <c r="M51" s="70"/>
      <c r="N51" s="70"/>
    </row>
    <row r="52" spans="2:14" x14ac:dyDescent="0.3">
      <c r="B52" s="7"/>
      <c r="C52" s="4" t="s">
        <v>354</v>
      </c>
      <c r="D52" s="6" t="s">
        <v>322</v>
      </c>
      <c r="E52" s="6" t="s">
        <v>56</v>
      </c>
      <c r="F52" s="253">
        <v>0</v>
      </c>
      <c r="G52" s="253">
        <v>0</v>
      </c>
      <c r="H52" s="253">
        <v>0</v>
      </c>
      <c r="I52" s="253">
        <v>0</v>
      </c>
      <c r="J52" s="253">
        <v>1543.5022889673094</v>
      </c>
      <c r="K52" s="253">
        <v>2592.647108911829</v>
      </c>
      <c r="L52" s="253">
        <v>2592.647108911829</v>
      </c>
      <c r="M52" s="253">
        <v>2592.647108911829</v>
      </c>
      <c r="N52" s="253">
        <v>2592.647108911829</v>
      </c>
    </row>
    <row r="53" spans="2:14" x14ac:dyDescent="0.3">
      <c r="B53" s="7"/>
      <c r="C53" s="4" t="s">
        <v>355</v>
      </c>
      <c r="D53" s="6" t="s">
        <v>322</v>
      </c>
      <c r="E53" s="6" t="s">
        <v>56</v>
      </c>
      <c r="F53" s="253">
        <v>0</v>
      </c>
      <c r="G53" s="253">
        <v>0</v>
      </c>
      <c r="H53" s="253">
        <v>0</v>
      </c>
      <c r="I53" s="253">
        <v>0</v>
      </c>
      <c r="J53" s="253">
        <v>0</v>
      </c>
      <c r="K53" s="253">
        <v>0</v>
      </c>
      <c r="L53" s="253">
        <v>2306.4724295972178</v>
      </c>
      <c r="M53" s="253">
        <v>2306.4724295972178</v>
      </c>
      <c r="N53" s="253">
        <v>2306.4724295972178</v>
      </c>
    </row>
    <row r="54" spans="2:14" x14ac:dyDescent="0.3">
      <c r="B54" s="7"/>
      <c r="C54" s="4" t="s">
        <v>356</v>
      </c>
      <c r="D54" s="6" t="s">
        <v>322</v>
      </c>
      <c r="E54" s="6" t="s">
        <v>56</v>
      </c>
      <c r="F54" s="253">
        <v>0</v>
      </c>
      <c r="G54" s="253">
        <v>0</v>
      </c>
      <c r="H54" s="253">
        <v>0</v>
      </c>
      <c r="I54" s="253">
        <v>0</v>
      </c>
      <c r="J54" s="253">
        <v>114.62732612539064</v>
      </c>
      <c r="K54" s="253">
        <v>196.50398764352681</v>
      </c>
      <c r="L54" s="253">
        <v>196.50398764352681</v>
      </c>
      <c r="M54" s="253">
        <v>196.50398764352681</v>
      </c>
      <c r="N54" s="253">
        <v>196.50398764352681</v>
      </c>
    </row>
    <row r="55" spans="2:14" x14ac:dyDescent="0.3">
      <c r="B55" s="7"/>
      <c r="C55" s="4" t="s">
        <v>357</v>
      </c>
      <c r="D55" s="6" t="s">
        <v>322</v>
      </c>
      <c r="E55" s="6" t="s">
        <v>56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>
        <v>0</v>
      </c>
      <c r="L55" s="253">
        <v>463.42978178503307</v>
      </c>
      <c r="M55" s="253">
        <v>463.42978178503307</v>
      </c>
      <c r="N55" s="253">
        <v>463.42978178503307</v>
      </c>
    </row>
    <row r="56" spans="2:14" x14ac:dyDescent="0.3">
      <c r="B56" s="7"/>
      <c r="C56" s="4" t="s">
        <v>358</v>
      </c>
      <c r="D56" s="6" t="s">
        <v>322</v>
      </c>
      <c r="E56" s="6" t="s">
        <v>56</v>
      </c>
      <c r="F56" s="253">
        <v>0</v>
      </c>
      <c r="G56" s="253">
        <v>0</v>
      </c>
      <c r="H56" s="253">
        <v>0</v>
      </c>
      <c r="I56" s="253">
        <v>0</v>
      </c>
      <c r="J56" s="253">
        <v>274.99811688253328</v>
      </c>
      <c r="K56" s="253">
        <v>540.36949962465644</v>
      </c>
      <c r="L56" s="253">
        <v>540.36949962465644</v>
      </c>
      <c r="M56" s="253">
        <v>540.36949962465644</v>
      </c>
      <c r="N56" s="253">
        <v>540.36949962465644</v>
      </c>
    </row>
    <row r="57" spans="2:14" x14ac:dyDescent="0.3">
      <c r="B57" s="7"/>
      <c r="C57" s="4" t="s">
        <v>359</v>
      </c>
      <c r="D57" s="6" t="s">
        <v>322</v>
      </c>
      <c r="E57" s="6" t="s">
        <v>56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3">
        <v>0</v>
      </c>
      <c r="L57" s="253">
        <v>2.1888126851436267</v>
      </c>
      <c r="M57" s="253">
        <v>2.1888126851436267</v>
      </c>
      <c r="N57" s="253">
        <v>2.1888126851436267</v>
      </c>
    </row>
    <row r="58" spans="2:14" x14ac:dyDescent="0.3">
      <c r="B58" s="7"/>
      <c r="C58" s="4" t="s">
        <v>360</v>
      </c>
      <c r="D58" s="6" t="s">
        <v>322</v>
      </c>
      <c r="E58" s="6" t="s">
        <v>56</v>
      </c>
      <c r="F58" s="253">
        <v>0</v>
      </c>
      <c r="G58" s="253">
        <v>0</v>
      </c>
      <c r="H58" s="253">
        <v>0</v>
      </c>
      <c r="I58" s="253">
        <v>0</v>
      </c>
      <c r="J58" s="253">
        <v>208.04393499999998</v>
      </c>
      <c r="K58" s="253">
        <v>416.08786999999995</v>
      </c>
      <c r="L58" s="253">
        <v>416.08786999999995</v>
      </c>
      <c r="M58" s="253">
        <v>208.043935</v>
      </c>
      <c r="N58" s="253">
        <v>0</v>
      </c>
    </row>
    <row r="59" spans="2:14" x14ac:dyDescent="0.3">
      <c r="B59" s="7"/>
      <c r="C59" s="4" t="s">
        <v>361</v>
      </c>
      <c r="D59" s="6" t="s">
        <v>322</v>
      </c>
      <c r="E59" s="6" t="s">
        <v>56</v>
      </c>
      <c r="F59" s="253">
        <v>0</v>
      </c>
      <c r="G59" s="253">
        <v>0</v>
      </c>
      <c r="H59" s="253">
        <v>0</v>
      </c>
      <c r="I59" s="253">
        <v>0</v>
      </c>
      <c r="J59" s="253">
        <v>6.3798909999999998</v>
      </c>
      <c r="K59" s="253">
        <v>12.759782</v>
      </c>
      <c r="L59" s="253">
        <v>12.759782</v>
      </c>
      <c r="M59" s="253">
        <v>12.759782</v>
      </c>
      <c r="N59" s="253">
        <v>12.759782</v>
      </c>
    </row>
    <row r="60" spans="2:14" x14ac:dyDescent="0.3">
      <c r="B60" s="7"/>
      <c r="C60" s="4" t="s">
        <v>362</v>
      </c>
      <c r="D60" s="6" t="s">
        <v>322</v>
      </c>
      <c r="E60" s="6" t="s">
        <v>56</v>
      </c>
      <c r="F60" s="253">
        <v>0</v>
      </c>
      <c r="G60" s="253">
        <v>0</v>
      </c>
      <c r="H60" s="253">
        <v>0</v>
      </c>
      <c r="I60" s="253">
        <v>0</v>
      </c>
      <c r="J60" s="253">
        <v>23.53013142857143</v>
      </c>
      <c r="K60" s="253">
        <v>47.06026285714286</v>
      </c>
      <c r="L60" s="253">
        <v>47.06026285714286</v>
      </c>
      <c r="M60" s="253">
        <v>47.06026285714286</v>
      </c>
      <c r="N60" s="253">
        <v>47.06026285714286</v>
      </c>
    </row>
    <row r="61" spans="2:14" x14ac:dyDescent="0.3">
      <c r="B61" s="7"/>
      <c r="C61" s="4" t="s">
        <v>363</v>
      </c>
      <c r="D61" s="6" t="s">
        <v>322</v>
      </c>
      <c r="E61" s="6" t="s">
        <v>56</v>
      </c>
      <c r="F61" s="253">
        <v>0</v>
      </c>
      <c r="G61" s="253">
        <v>0</v>
      </c>
      <c r="H61" s="253">
        <v>0</v>
      </c>
      <c r="I61" s="253">
        <v>0</v>
      </c>
      <c r="J61" s="253">
        <v>0</v>
      </c>
      <c r="K61" s="253">
        <v>1860.4998425951062</v>
      </c>
      <c r="L61" s="253">
        <v>2232.5998111141271</v>
      </c>
      <c r="M61" s="253">
        <v>2232.5998111141271</v>
      </c>
      <c r="N61" s="253">
        <v>2232.5998111141271</v>
      </c>
    </row>
    <row r="62" spans="2:14" x14ac:dyDescent="0.3">
      <c r="B62" s="7"/>
      <c r="C62" s="4" t="s">
        <v>364</v>
      </c>
      <c r="D62" s="6" t="s">
        <v>322</v>
      </c>
      <c r="E62" s="6" t="s">
        <v>56</v>
      </c>
      <c r="F62" s="253">
        <v>0</v>
      </c>
      <c r="G62" s="253">
        <v>0</v>
      </c>
      <c r="H62" s="253">
        <v>0</v>
      </c>
      <c r="I62" s="253">
        <v>0</v>
      </c>
      <c r="J62" s="253">
        <v>0</v>
      </c>
      <c r="K62" s="253">
        <v>81.5153785246317</v>
      </c>
      <c r="L62" s="253">
        <v>97.818454229558029</v>
      </c>
      <c r="M62" s="253">
        <v>97.818454229558029</v>
      </c>
      <c r="N62" s="253">
        <v>97.818454229558029</v>
      </c>
    </row>
    <row r="63" spans="2:14" x14ac:dyDescent="0.3">
      <c r="B63" s="7"/>
      <c r="C63" s="4" t="s">
        <v>365</v>
      </c>
      <c r="D63" s="6" t="s">
        <v>322</v>
      </c>
      <c r="E63" s="6" t="s">
        <v>56</v>
      </c>
      <c r="F63" s="253">
        <v>0</v>
      </c>
      <c r="G63" s="253">
        <v>0</v>
      </c>
      <c r="H63" s="253">
        <v>0</v>
      </c>
      <c r="I63" s="253">
        <v>0</v>
      </c>
      <c r="J63" s="253">
        <v>0</v>
      </c>
      <c r="K63" s="253">
        <v>250.46204050048593</v>
      </c>
      <c r="L63" s="253">
        <v>273.231316909621</v>
      </c>
      <c r="M63" s="253">
        <v>273.231316909621</v>
      </c>
      <c r="N63" s="253">
        <v>273.231316909621</v>
      </c>
    </row>
    <row r="64" spans="2:14" x14ac:dyDescent="0.3">
      <c r="B64" s="4"/>
      <c r="C64" s="4" t="s">
        <v>366</v>
      </c>
      <c r="D64" s="6" t="s">
        <v>322</v>
      </c>
      <c r="E64" s="6" t="s">
        <v>56</v>
      </c>
      <c r="F64" s="253">
        <v>0</v>
      </c>
      <c r="G64" s="253">
        <v>0</v>
      </c>
      <c r="H64" s="253">
        <v>0</v>
      </c>
      <c r="I64" s="253">
        <v>0</v>
      </c>
      <c r="J64" s="253">
        <v>0</v>
      </c>
      <c r="K64" s="253">
        <v>80.167951666666667</v>
      </c>
      <c r="L64" s="253">
        <v>96.201542000000003</v>
      </c>
      <c r="M64" s="253">
        <v>96.201542000000003</v>
      </c>
      <c r="N64" s="253">
        <v>96.201542000000003</v>
      </c>
    </row>
    <row r="65" spans="2:14" x14ac:dyDescent="0.3">
      <c r="B65" s="4"/>
      <c r="C65" s="4" t="s">
        <v>367</v>
      </c>
      <c r="D65" s="6" t="s">
        <v>322</v>
      </c>
      <c r="E65" s="6" t="s">
        <v>56</v>
      </c>
      <c r="F65" s="253">
        <v>0</v>
      </c>
      <c r="G65" s="253">
        <v>0</v>
      </c>
      <c r="H65" s="253">
        <v>0</v>
      </c>
      <c r="I65" s="253">
        <v>0</v>
      </c>
      <c r="J65" s="253">
        <v>0</v>
      </c>
      <c r="K65" s="253">
        <v>620.31216675719713</v>
      </c>
      <c r="L65" s="253">
        <v>744.37460010863651</v>
      </c>
      <c r="M65" s="253">
        <v>744.37460010863651</v>
      </c>
      <c r="N65" s="253">
        <v>744.37460010863651</v>
      </c>
    </row>
    <row r="66" spans="2:14" x14ac:dyDescent="0.3">
      <c r="B66" s="4"/>
      <c r="C66" s="4" t="s">
        <v>368</v>
      </c>
      <c r="D66" s="6" t="s">
        <v>322</v>
      </c>
      <c r="E66" s="6" t="s">
        <v>56</v>
      </c>
      <c r="F66" s="253">
        <v>0</v>
      </c>
      <c r="G66" s="253">
        <v>0</v>
      </c>
      <c r="H66" s="253">
        <v>0</v>
      </c>
      <c r="I66" s="253">
        <v>0</v>
      </c>
      <c r="J66" s="253">
        <v>0</v>
      </c>
      <c r="K66" s="253">
        <v>531.28865937500007</v>
      </c>
      <c r="L66" s="253">
        <v>637.54639124999994</v>
      </c>
      <c r="M66" s="253">
        <v>637.54639124999994</v>
      </c>
      <c r="N66" s="253">
        <v>637.54639124999994</v>
      </c>
    </row>
    <row r="67" spans="2:14" x14ac:dyDescent="0.3">
      <c r="B67" s="4"/>
      <c r="C67" s="4" t="s">
        <v>369</v>
      </c>
      <c r="D67" s="6" t="s">
        <v>322</v>
      </c>
      <c r="E67" s="6" t="s">
        <v>56</v>
      </c>
      <c r="F67" s="253">
        <v>0</v>
      </c>
      <c r="G67" s="253">
        <v>0</v>
      </c>
      <c r="H67" s="253">
        <v>0</v>
      </c>
      <c r="I67" s="253">
        <v>0</v>
      </c>
      <c r="J67" s="253">
        <v>0</v>
      </c>
      <c r="K67" s="253">
        <v>0</v>
      </c>
      <c r="L67" s="253">
        <v>79.660458500000004</v>
      </c>
      <c r="M67" s="253">
        <v>79.660458500000004</v>
      </c>
      <c r="N67" s="253">
        <v>79.660458500000004</v>
      </c>
    </row>
    <row r="68" spans="2:14" x14ac:dyDescent="0.3">
      <c r="B68" s="4"/>
      <c r="C68" s="4" t="s">
        <v>370</v>
      </c>
      <c r="D68" s="6" t="s">
        <v>322</v>
      </c>
      <c r="E68" s="6" t="s">
        <v>56</v>
      </c>
      <c r="F68" s="253">
        <v>0</v>
      </c>
      <c r="G68" s="253">
        <v>0</v>
      </c>
      <c r="H68" s="253">
        <v>0</v>
      </c>
      <c r="I68" s="253">
        <v>0</v>
      </c>
      <c r="J68" s="253">
        <v>0</v>
      </c>
      <c r="K68" s="253">
        <v>0</v>
      </c>
      <c r="L68" s="253">
        <v>435.76771274542796</v>
      </c>
      <c r="M68" s="253">
        <v>435.76771274542796</v>
      </c>
      <c r="N68" s="253">
        <v>435.76771274542796</v>
      </c>
    </row>
    <row r="69" spans="2:14" x14ac:dyDescent="0.3">
      <c r="B69" s="4"/>
      <c r="C69" s="4" t="s">
        <v>371</v>
      </c>
      <c r="D69" s="6" t="s">
        <v>322</v>
      </c>
      <c r="E69" s="6" t="s">
        <v>56</v>
      </c>
      <c r="F69" s="253">
        <v>0</v>
      </c>
      <c r="G69" s="253">
        <v>0</v>
      </c>
      <c r="H69" s="253">
        <v>0</v>
      </c>
      <c r="I69" s="253">
        <v>0</v>
      </c>
      <c r="J69" s="253">
        <v>0</v>
      </c>
      <c r="K69" s="253">
        <v>0</v>
      </c>
      <c r="L69" s="253">
        <v>1190.5881040000002</v>
      </c>
      <c r="M69" s="253">
        <v>1190.5881040000002</v>
      </c>
      <c r="N69" s="253">
        <v>1190.5881040000002</v>
      </c>
    </row>
    <row r="70" spans="2:14" x14ac:dyDescent="0.3">
      <c r="B70" s="4"/>
      <c r="C70" s="4" t="s">
        <v>372</v>
      </c>
      <c r="D70" s="6" t="s">
        <v>322</v>
      </c>
      <c r="E70" s="6" t="s">
        <v>56</v>
      </c>
      <c r="F70" s="253">
        <v>0</v>
      </c>
      <c r="G70" s="253">
        <v>0</v>
      </c>
      <c r="H70" s="253">
        <v>0</v>
      </c>
      <c r="I70" s="253">
        <v>0</v>
      </c>
      <c r="J70" s="253">
        <v>0</v>
      </c>
      <c r="K70" s="253">
        <v>0</v>
      </c>
      <c r="L70" s="253">
        <v>685.94125150000002</v>
      </c>
      <c r="M70" s="253">
        <v>685.94125150000002</v>
      </c>
      <c r="N70" s="253">
        <v>685.94125150000002</v>
      </c>
    </row>
    <row r="71" spans="2:14" x14ac:dyDescent="0.3">
      <c r="B71" s="4"/>
      <c r="C71" s="4" t="s">
        <v>373</v>
      </c>
      <c r="D71" s="6" t="s">
        <v>322</v>
      </c>
      <c r="E71" s="6" t="s">
        <v>56</v>
      </c>
      <c r="F71" s="253">
        <v>0</v>
      </c>
      <c r="G71" s="253">
        <v>0</v>
      </c>
      <c r="H71" s="253">
        <v>0</v>
      </c>
      <c r="I71" s="253">
        <v>0</v>
      </c>
      <c r="J71" s="253">
        <v>0</v>
      </c>
      <c r="K71" s="253">
        <v>0</v>
      </c>
      <c r="L71" s="253">
        <v>453.26732071334459</v>
      </c>
      <c r="M71" s="253">
        <v>543.92078485601348</v>
      </c>
      <c r="N71" s="253">
        <v>543.92078485601348</v>
      </c>
    </row>
    <row r="72" spans="2:14" x14ac:dyDescent="0.3">
      <c r="B72" s="7"/>
      <c r="C72" s="4" t="s">
        <v>408</v>
      </c>
      <c r="D72" s="6" t="s">
        <v>322</v>
      </c>
      <c r="E72" s="6" t="s">
        <v>56</v>
      </c>
      <c r="F72" s="253">
        <v>20.846331409440548</v>
      </c>
      <c r="G72" s="253">
        <v>56.493643117824497</v>
      </c>
      <c r="H72" s="253">
        <v>56.207442014678612</v>
      </c>
      <c r="I72" s="253">
        <v>56.207442014678612</v>
      </c>
      <c r="J72" s="253">
        <v>56.207442014678612</v>
      </c>
      <c r="K72" s="253">
        <v>56.207442014678612</v>
      </c>
      <c r="L72" s="253">
        <v>56.207442014678612</v>
      </c>
      <c r="M72" s="253">
        <v>56.207442014678612</v>
      </c>
      <c r="N72" s="253">
        <v>56.207442014678612</v>
      </c>
    </row>
    <row r="73" spans="2:14" x14ac:dyDescent="0.3">
      <c r="B73" s="7"/>
      <c r="C73" s="4" t="s">
        <v>409</v>
      </c>
      <c r="D73" s="6" t="s">
        <v>322</v>
      </c>
      <c r="E73" s="6" t="s">
        <v>56</v>
      </c>
      <c r="F73" s="253">
        <v>14.634713275474645</v>
      </c>
      <c r="G73" s="253">
        <v>53.273071596214535</v>
      </c>
      <c r="H73" s="253">
        <v>45.21423418047641</v>
      </c>
      <c r="I73" s="253">
        <v>44.0301271177646</v>
      </c>
      <c r="J73" s="253">
        <v>43.999546135654008</v>
      </c>
      <c r="K73" s="253">
        <v>43.999546135654008</v>
      </c>
      <c r="L73" s="253">
        <v>43.999546135654008</v>
      </c>
      <c r="M73" s="253">
        <v>43.999546135654008</v>
      </c>
      <c r="N73" s="253">
        <v>43.999546135654008</v>
      </c>
    </row>
    <row r="74" spans="2:14" x14ac:dyDescent="0.3">
      <c r="B74" s="7"/>
      <c r="C74" s="4" t="s">
        <v>410</v>
      </c>
      <c r="D74" s="6" t="s">
        <v>322</v>
      </c>
      <c r="E74" s="6" t="s">
        <v>56</v>
      </c>
      <c r="F74" s="253">
        <v>1.0520833333333333</v>
      </c>
      <c r="G74" s="253">
        <v>3.15625</v>
      </c>
      <c r="H74" s="253">
        <v>3.15625</v>
      </c>
      <c r="I74" s="253">
        <v>2.1041666666666661</v>
      </c>
      <c r="J74" s="253">
        <v>0</v>
      </c>
      <c r="K74" s="253">
        <v>0</v>
      </c>
      <c r="L74" s="253">
        <v>0</v>
      </c>
      <c r="M74" s="253">
        <v>0</v>
      </c>
      <c r="N74" s="253">
        <v>0</v>
      </c>
    </row>
    <row r="75" spans="2:14" x14ac:dyDescent="0.3">
      <c r="B75" s="7"/>
      <c r="C75" s="4" t="s">
        <v>411</v>
      </c>
      <c r="D75" s="6" t="s">
        <v>322</v>
      </c>
      <c r="E75" s="6" t="s">
        <v>56</v>
      </c>
      <c r="F75" s="253">
        <v>0</v>
      </c>
      <c r="G75" s="253">
        <v>42.995571388888884</v>
      </c>
      <c r="H75" s="253">
        <v>176.77431968983691</v>
      </c>
      <c r="I75" s="253">
        <v>330.16175888888881</v>
      </c>
      <c r="J75" s="253">
        <v>352.43551388888875</v>
      </c>
      <c r="K75" s="253">
        <v>896.23771003238505</v>
      </c>
      <c r="L75" s="253">
        <v>1149.9698416666663</v>
      </c>
      <c r="M75" s="253">
        <v>1074.3332322222225</v>
      </c>
      <c r="N75" s="253">
        <v>516.94970638888856</v>
      </c>
    </row>
    <row r="76" spans="2:14" x14ac:dyDescent="0.3">
      <c r="B76" s="7"/>
      <c r="C76" s="4" t="s">
        <v>129</v>
      </c>
      <c r="D76" s="6" t="s">
        <v>322</v>
      </c>
      <c r="E76" s="6" t="s">
        <v>56</v>
      </c>
      <c r="F76" s="253">
        <v>0</v>
      </c>
      <c r="G76" s="253">
        <v>0</v>
      </c>
      <c r="H76" s="253">
        <v>0</v>
      </c>
      <c r="I76" s="253">
        <v>32.830472777777771</v>
      </c>
      <c r="J76" s="253">
        <v>36.375346666666665</v>
      </c>
      <c r="K76" s="253">
        <v>36.375346666666665</v>
      </c>
      <c r="L76" s="253">
        <v>0.77039249999999992</v>
      </c>
      <c r="M76" s="253">
        <v>0</v>
      </c>
      <c r="N76" s="253">
        <v>0</v>
      </c>
    </row>
    <row r="77" spans="2:14" x14ac:dyDescent="0.3">
      <c r="B77" s="7"/>
      <c r="C77" s="4" t="s">
        <v>412</v>
      </c>
      <c r="D77" s="6" t="s">
        <v>322</v>
      </c>
      <c r="E77" s="6" t="s">
        <v>56</v>
      </c>
      <c r="F77" s="253">
        <v>0</v>
      </c>
      <c r="G77" s="253">
        <v>0</v>
      </c>
      <c r="H77" s="253">
        <v>0</v>
      </c>
      <c r="I77" s="253">
        <v>0</v>
      </c>
      <c r="J77" s="253">
        <v>95.981105541666665</v>
      </c>
      <c r="K77" s="253">
        <v>184.36136794642857</v>
      </c>
      <c r="L77" s="253">
        <v>186.62124357142855</v>
      </c>
      <c r="M77" s="253">
        <v>203.7612352380952</v>
      </c>
      <c r="N77" s="253">
        <v>212.33123107142853</v>
      </c>
    </row>
    <row r="78" spans="2:14" x14ac:dyDescent="0.3">
      <c r="B78" s="7"/>
      <c r="C78" s="4" t="s">
        <v>413</v>
      </c>
      <c r="D78" s="6" t="s">
        <v>322</v>
      </c>
      <c r="E78" s="6" t="s">
        <v>56</v>
      </c>
      <c r="F78" s="253">
        <v>0</v>
      </c>
      <c r="G78" s="253">
        <v>0</v>
      </c>
      <c r="H78" s="253">
        <v>0</v>
      </c>
      <c r="I78" s="253">
        <v>0</v>
      </c>
      <c r="J78" s="253">
        <v>0</v>
      </c>
      <c r="K78" s="253">
        <v>0</v>
      </c>
      <c r="L78" s="253">
        <v>225.37993501458706</v>
      </c>
      <c r="M78" s="253">
        <v>225.37993501458706</v>
      </c>
      <c r="N78" s="253">
        <v>225.37993501458706</v>
      </c>
    </row>
    <row r="79" spans="2:14" x14ac:dyDescent="0.3">
      <c r="B79" s="7"/>
      <c r="C79" s="4" t="s">
        <v>414</v>
      </c>
      <c r="D79" s="6" t="s">
        <v>322</v>
      </c>
      <c r="E79" s="6" t="s">
        <v>56</v>
      </c>
      <c r="F79" s="253">
        <v>0</v>
      </c>
      <c r="G79" s="253">
        <v>0</v>
      </c>
      <c r="H79" s="253">
        <v>0</v>
      </c>
      <c r="I79" s="253">
        <v>0</v>
      </c>
      <c r="J79" s="253">
        <v>0</v>
      </c>
      <c r="K79" s="253">
        <v>0</v>
      </c>
      <c r="L79" s="253">
        <v>9.5364973631059247</v>
      </c>
      <c r="M79" s="253">
        <v>9.5364973631059247</v>
      </c>
      <c r="N79" s="253">
        <v>9.5364973631059247</v>
      </c>
    </row>
    <row r="80" spans="2:14" x14ac:dyDescent="0.3">
      <c r="B80" s="7"/>
      <c r="C80" s="4" t="s">
        <v>415</v>
      </c>
      <c r="D80" s="6" t="s">
        <v>322</v>
      </c>
      <c r="E80" s="6" t="s">
        <v>56</v>
      </c>
      <c r="F80" s="253">
        <v>0</v>
      </c>
      <c r="G80" s="253">
        <v>0</v>
      </c>
      <c r="H80" s="253">
        <v>0</v>
      </c>
      <c r="I80" s="253">
        <v>0</v>
      </c>
      <c r="J80" s="253">
        <v>0</v>
      </c>
      <c r="K80" s="253">
        <v>0</v>
      </c>
      <c r="L80" s="253">
        <v>97.550534408662472</v>
      </c>
      <c r="M80" s="253">
        <v>97.550534408662472</v>
      </c>
      <c r="N80" s="253">
        <v>97.550534408662472</v>
      </c>
    </row>
    <row r="81" spans="2:14" x14ac:dyDescent="0.3">
      <c r="B81" s="7"/>
      <c r="C81" s="4" t="s">
        <v>416</v>
      </c>
      <c r="D81" s="6" t="s">
        <v>322</v>
      </c>
      <c r="E81" s="6" t="s">
        <v>56</v>
      </c>
      <c r="F81" s="253">
        <v>0</v>
      </c>
      <c r="G81" s="253">
        <v>0</v>
      </c>
      <c r="H81" s="253">
        <v>0</v>
      </c>
      <c r="I81" s="253">
        <v>0</v>
      </c>
      <c r="J81" s="253">
        <v>0</v>
      </c>
      <c r="K81" s="253">
        <v>0</v>
      </c>
      <c r="L81" s="253">
        <v>14.884461226436265</v>
      </c>
      <c r="M81" s="253">
        <v>14.884461226436265</v>
      </c>
      <c r="N81" s="253">
        <v>14.884461226436265</v>
      </c>
    </row>
    <row r="82" spans="2:14" x14ac:dyDescent="0.3">
      <c r="B82" s="7"/>
      <c r="C82" s="4" t="s">
        <v>417</v>
      </c>
      <c r="D82" s="6" t="s">
        <v>322</v>
      </c>
      <c r="E82" s="6" t="s">
        <v>56</v>
      </c>
      <c r="F82" s="253">
        <v>0</v>
      </c>
      <c r="G82" s="253">
        <v>0</v>
      </c>
      <c r="H82" s="253">
        <v>0</v>
      </c>
      <c r="I82" s="253">
        <v>0</v>
      </c>
      <c r="J82" s="253">
        <v>0</v>
      </c>
      <c r="K82" s="253">
        <v>0.15977875</v>
      </c>
      <c r="L82" s="253">
        <v>0.21303833333333336</v>
      </c>
      <c r="M82" s="253">
        <v>0.21303833333333336</v>
      </c>
      <c r="N82" s="253">
        <v>0.21303833333333336</v>
      </c>
    </row>
    <row r="83" spans="2:14" x14ac:dyDescent="0.3">
      <c r="B83" s="4"/>
      <c r="C83" s="4" t="s">
        <v>418</v>
      </c>
      <c r="D83" s="6" t="s">
        <v>322</v>
      </c>
      <c r="E83" s="6" t="s">
        <v>56</v>
      </c>
      <c r="F83" s="253">
        <v>0</v>
      </c>
      <c r="G83" s="253">
        <v>0</v>
      </c>
      <c r="H83" s="253">
        <v>0</v>
      </c>
      <c r="I83" s="253">
        <v>0</v>
      </c>
      <c r="J83" s="253">
        <v>0</v>
      </c>
      <c r="K83" s="253">
        <v>0</v>
      </c>
      <c r="L83" s="253">
        <v>11.940552333931777</v>
      </c>
      <c r="M83" s="253">
        <v>11.940552333931777</v>
      </c>
      <c r="N83" s="253">
        <v>11.940552333931777</v>
      </c>
    </row>
    <row r="84" spans="2:14" x14ac:dyDescent="0.3">
      <c r="B84" s="4"/>
      <c r="C84" s="4" t="s">
        <v>419</v>
      </c>
      <c r="D84" s="6" t="s">
        <v>322</v>
      </c>
      <c r="E84" s="6" t="s">
        <v>56</v>
      </c>
      <c r="F84" s="253">
        <v>0</v>
      </c>
      <c r="G84" s="253">
        <v>0</v>
      </c>
      <c r="H84" s="253">
        <v>0</v>
      </c>
      <c r="I84" s="253">
        <v>0</v>
      </c>
      <c r="J84" s="253">
        <v>0</v>
      </c>
      <c r="K84" s="253">
        <v>0</v>
      </c>
      <c r="L84" s="253">
        <v>51.634710665394977</v>
      </c>
      <c r="M84" s="253">
        <v>51.634710665394977</v>
      </c>
      <c r="N84" s="253">
        <v>51.634710665394977</v>
      </c>
    </row>
    <row r="85" spans="2:14" x14ac:dyDescent="0.3">
      <c r="B85" s="4"/>
      <c r="C85" s="4" t="s">
        <v>420</v>
      </c>
      <c r="D85" s="6" t="s">
        <v>322</v>
      </c>
      <c r="E85" s="6" t="s">
        <v>56</v>
      </c>
      <c r="F85" s="253">
        <v>0</v>
      </c>
      <c r="G85" s="253">
        <v>0</v>
      </c>
      <c r="H85" s="253">
        <v>0</v>
      </c>
      <c r="I85" s="253">
        <v>0</v>
      </c>
      <c r="J85" s="253">
        <v>0</v>
      </c>
      <c r="K85" s="253">
        <v>0</v>
      </c>
      <c r="L85" s="253">
        <v>1.0239003590664273</v>
      </c>
      <c r="M85" s="253">
        <v>1.0239003590664273</v>
      </c>
      <c r="N85" s="253">
        <v>1.0239003590664273</v>
      </c>
    </row>
    <row r="86" spans="2:14" x14ac:dyDescent="0.3">
      <c r="B86" s="4"/>
      <c r="C86" s="4" t="s">
        <v>421</v>
      </c>
      <c r="D86" s="6" t="s">
        <v>322</v>
      </c>
      <c r="E86" s="6" t="s">
        <v>56</v>
      </c>
      <c r="F86" s="253">
        <v>0</v>
      </c>
      <c r="G86" s="253">
        <v>0</v>
      </c>
      <c r="H86" s="253">
        <v>0</v>
      </c>
      <c r="I86" s="253">
        <v>0</v>
      </c>
      <c r="J86" s="253">
        <v>0</v>
      </c>
      <c r="K86" s="253">
        <v>0</v>
      </c>
      <c r="L86" s="253">
        <v>2.2097530857271095</v>
      </c>
      <c r="M86" s="253">
        <v>2.2097530857271095</v>
      </c>
      <c r="N86" s="253">
        <v>2.2097530857271095</v>
      </c>
    </row>
    <row r="87" spans="2:14" x14ac:dyDescent="0.3">
      <c r="B87" s="4"/>
      <c r="C87" s="4" t="s">
        <v>422</v>
      </c>
      <c r="D87" s="6" t="s">
        <v>322</v>
      </c>
      <c r="E87" s="6" t="s">
        <v>56</v>
      </c>
      <c r="F87" s="253">
        <v>0</v>
      </c>
      <c r="G87" s="253">
        <v>0</v>
      </c>
      <c r="H87" s="253">
        <v>0</v>
      </c>
      <c r="I87" s="253">
        <v>0</v>
      </c>
      <c r="J87" s="253">
        <v>0</v>
      </c>
      <c r="K87" s="253">
        <v>0</v>
      </c>
      <c r="L87" s="253">
        <v>100.35396458146319</v>
      </c>
      <c r="M87" s="253">
        <v>100.35396458146319</v>
      </c>
      <c r="N87" s="253">
        <v>100.35396458146319</v>
      </c>
    </row>
    <row r="88" spans="2:14" x14ac:dyDescent="0.3">
      <c r="B88" s="4"/>
      <c r="C88" s="4" t="s">
        <v>423</v>
      </c>
      <c r="D88" s="6" t="s">
        <v>322</v>
      </c>
      <c r="E88" s="6" t="s">
        <v>56</v>
      </c>
      <c r="F88" s="253">
        <v>0</v>
      </c>
      <c r="G88" s="253">
        <v>0</v>
      </c>
      <c r="H88" s="253">
        <v>0</v>
      </c>
      <c r="I88" s="253">
        <v>0</v>
      </c>
      <c r="J88" s="253">
        <v>0</v>
      </c>
      <c r="K88" s="253">
        <v>0</v>
      </c>
      <c r="L88" s="253">
        <v>150.81587233505385</v>
      </c>
      <c r="M88" s="253">
        <v>150.81587233505385</v>
      </c>
      <c r="N88" s="253">
        <v>150.81587233505385</v>
      </c>
    </row>
    <row r="89" spans="2:14" x14ac:dyDescent="0.3">
      <c r="B89" s="4"/>
      <c r="C89" s="4" t="s">
        <v>424</v>
      </c>
      <c r="D89" s="6" t="s">
        <v>322</v>
      </c>
      <c r="E89" s="6" t="s">
        <v>56</v>
      </c>
      <c r="F89" s="253">
        <v>0</v>
      </c>
      <c r="G89" s="253">
        <v>0</v>
      </c>
      <c r="H89" s="253">
        <v>0</v>
      </c>
      <c r="I89" s="253">
        <v>0</v>
      </c>
      <c r="J89" s="253">
        <v>0</v>
      </c>
      <c r="K89" s="253">
        <v>0</v>
      </c>
      <c r="L89" s="253">
        <v>72.676939777827641</v>
      </c>
      <c r="M89" s="253">
        <v>72.676939777827641</v>
      </c>
      <c r="N89" s="253">
        <v>72.676939777827641</v>
      </c>
    </row>
    <row r="90" spans="2:14" x14ac:dyDescent="0.3">
      <c r="B90" s="4"/>
      <c r="C90" s="4" t="s">
        <v>425</v>
      </c>
      <c r="D90" s="6" t="s">
        <v>322</v>
      </c>
      <c r="E90" s="6" t="s">
        <v>56</v>
      </c>
      <c r="F90" s="253">
        <v>0</v>
      </c>
      <c r="G90" s="253">
        <v>0</v>
      </c>
      <c r="H90" s="253">
        <v>0</v>
      </c>
      <c r="I90" s="253">
        <v>0</v>
      </c>
      <c r="J90" s="253">
        <v>0</v>
      </c>
      <c r="K90" s="253">
        <v>0</v>
      </c>
      <c r="L90" s="253">
        <v>4.0517162477558344</v>
      </c>
      <c r="M90" s="253">
        <v>4.0517162477558344</v>
      </c>
      <c r="N90" s="253">
        <v>4.0517162477558344</v>
      </c>
    </row>
    <row r="91" spans="2:14" x14ac:dyDescent="0.3">
      <c r="B91" s="4"/>
      <c r="C91" s="4" t="s">
        <v>426</v>
      </c>
      <c r="D91" s="6" t="s">
        <v>322</v>
      </c>
      <c r="E91" s="6" t="s">
        <v>56</v>
      </c>
      <c r="F91" s="253">
        <v>0</v>
      </c>
      <c r="G91" s="253">
        <v>0</v>
      </c>
      <c r="H91" s="253">
        <v>0</v>
      </c>
      <c r="I91" s="253">
        <v>0</v>
      </c>
      <c r="J91" s="253">
        <v>0</v>
      </c>
      <c r="K91" s="253">
        <v>0</v>
      </c>
      <c r="L91" s="253">
        <v>45.023459358168758</v>
      </c>
      <c r="M91" s="253">
        <v>45.023459358168758</v>
      </c>
      <c r="N91" s="253">
        <v>45.023459358168758</v>
      </c>
    </row>
    <row r="92" spans="2:14" x14ac:dyDescent="0.3">
      <c r="B92" s="4"/>
      <c r="C92" s="4" t="s">
        <v>427</v>
      </c>
      <c r="D92" s="6" t="s">
        <v>322</v>
      </c>
      <c r="E92" s="6" t="s">
        <v>56</v>
      </c>
      <c r="F92" s="253">
        <v>0</v>
      </c>
      <c r="G92" s="253">
        <v>0</v>
      </c>
      <c r="H92" s="253">
        <v>0</v>
      </c>
      <c r="I92" s="253">
        <v>0</v>
      </c>
      <c r="J92" s="253">
        <v>0</v>
      </c>
      <c r="K92" s="253">
        <v>0</v>
      </c>
      <c r="L92" s="253">
        <v>41.878446196140032</v>
      </c>
      <c r="M92" s="253">
        <v>41.878446196140032</v>
      </c>
      <c r="N92" s="253">
        <v>41.878446196140032</v>
      </c>
    </row>
    <row r="93" spans="2:14" x14ac:dyDescent="0.3">
      <c r="B93" s="4"/>
      <c r="C93" s="4" t="s">
        <v>428</v>
      </c>
      <c r="D93" s="6" t="s">
        <v>322</v>
      </c>
      <c r="E93" s="6" t="s">
        <v>56</v>
      </c>
      <c r="F93" s="253">
        <v>0</v>
      </c>
      <c r="G93" s="253">
        <v>0</v>
      </c>
      <c r="H93" s="253">
        <v>0</v>
      </c>
      <c r="I93" s="253">
        <v>0</v>
      </c>
      <c r="J93" s="253">
        <v>0</v>
      </c>
      <c r="K93" s="253">
        <v>0</v>
      </c>
      <c r="L93" s="253">
        <v>34.164024983168751</v>
      </c>
      <c r="M93" s="253">
        <v>34.164024983168751</v>
      </c>
      <c r="N93" s="253">
        <v>34.164024983168751</v>
      </c>
    </row>
    <row r="94" spans="2:14" x14ac:dyDescent="0.3">
      <c r="B94" s="4"/>
      <c r="C94" s="4" t="s">
        <v>429</v>
      </c>
      <c r="D94" s="6" t="s">
        <v>322</v>
      </c>
      <c r="E94" s="6" t="s">
        <v>56</v>
      </c>
      <c r="F94" s="253">
        <v>0</v>
      </c>
      <c r="G94" s="253">
        <v>0</v>
      </c>
      <c r="H94" s="253">
        <v>0</v>
      </c>
      <c r="I94" s="253">
        <v>0</v>
      </c>
      <c r="J94" s="253">
        <v>0</v>
      </c>
      <c r="K94" s="253">
        <v>0</v>
      </c>
      <c r="L94" s="253">
        <v>60.718056760547604</v>
      </c>
      <c r="M94" s="253">
        <v>60.718056760547604</v>
      </c>
      <c r="N94" s="253">
        <v>60.718056760547604</v>
      </c>
    </row>
    <row r="95" spans="2:14" x14ac:dyDescent="0.3">
      <c r="B95" s="4"/>
      <c r="C95" s="4" t="s">
        <v>430</v>
      </c>
      <c r="D95" s="6" t="s">
        <v>322</v>
      </c>
      <c r="E95" s="6" t="s">
        <v>56</v>
      </c>
      <c r="F95" s="253">
        <v>0</v>
      </c>
      <c r="G95" s="253">
        <v>0</v>
      </c>
      <c r="H95" s="253">
        <v>0</v>
      </c>
      <c r="I95" s="253">
        <v>0</v>
      </c>
      <c r="J95" s="253">
        <v>0</v>
      </c>
      <c r="K95" s="253">
        <v>0</v>
      </c>
      <c r="L95" s="253">
        <v>57.039058264138227</v>
      </c>
      <c r="M95" s="253">
        <v>57.039058264138227</v>
      </c>
      <c r="N95" s="253">
        <v>57.039058264138227</v>
      </c>
    </row>
    <row r="96" spans="2:14" x14ac:dyDescent="0.3">
      <c r="B96" s="4"/>
      <c r="C96" s="4" t="s">
        <v>431</v>
      </c>
      <c r="D96" s="6" t="s">
        <v>322</v>
      </c>
      <c r="E96" s="6" t="s">
        <v>56</v>
      </c>
      <c r="F96" s="253">
        <v>0</v>
      </c>
      <c r="G96" s="253">
        <v>0</v>
      </c>
      <c r="H96" s="253">
        <v>0</v>
      </c>
      <c r="I96" s="253">
        <v>0</v>
      </c>
      <c r="J96" s="253">
        <v>0</v>
      </c>
      <c r="K96" s="253">
        <v>0</v>
      </c>
      <c r="L96" s="253">
        <v>22.312133410008979</v>
      </c>
      <c r="M96" s="253">
        <v>22.312133410008979</v>
      </c>
      <c r="N96" s="253">
        <v>22.312133410008979</v>
      </c>
    </row>
    <row r="97" spans="2:14" x14ac:dyDescent="0.3">
      <c r="B97" s="4"/>
      <c r="C97" s="4" t="s">
        <v>432</v>
      </c>
      <c r="D97" s="6" t="s">
        <v>322</v>
      </c>
      <c r="E97" s="6" t="s">
        <v>56</v>
      </c>
      <c r="F97" s="253">
        <v>0</v>
      </c>
      <c r="G97" s="253">
        <v>0</v>
      </c>
      <c r="H97" s="253">
        <v>0</v>
      </c>
      <c r="I97" s="253">
        <v>0</v>
      </c>
      <c r="J97" s="253">
        <v>0</v>
      </c>
      <c r="K97" s="253">
        <v>0</v>
      </c>
      <c r="L97" s="253">
        <v>15.146144355924596</v>
      </c>
      <c r="M97" s="253">
        <v>15.146144355924596</v>
      </c>
      <c r="N97" s="253">
        <v>15.146144355924596</v>
      </c>
    </row>
    <row r="98" spans="2:14" x14ac:dyDescent="0.3">
      <c r="B98" s="4"/>
      <c r="C98" s="4" t="s">
        <v>433</v>
      </c>
      <c r="D98" s="6" t="s">
        <v>322</v>
      </c>
      <c r="E98" s="6" t="s">
        <v>56</v>
      </c>
      <c r="F98" s="253">
        <v>0</v>
      </c>
      <c r="G98" s="253">
        <v>0</v>
      </c>
      <c r="H98" s="253">
        <v>0</v>
      </c>
      <c r="I98" s="253">
        <v>0</v>
      </c>
      <c r="J98" s="253">
        <v>0</v>
      </c>
      <c r="K98" s="253">
        <v>0</v>
      </c>
      <c r="L98" s="253">
        <v>2.2147988666965888</v>
      </c>
      <c r="M98" s="253">
        <v>2.2147988666965888</v>
      </c>
      <c r="N98" s="253">
        <v>2.2147988666965888</v>
      </c>
    </row>
    <row r="99" spans="2:14" x14ac:dyDescent="0.3">
      <c r="B99" s="4"/>
      <c r="C99" s="4" t="s">
        <v>434</v>
      </c>
      <c r="D99" s="6" t="s">
        <v>322</v>
      </c>
      <c r="E99" s="6" t="s">
        <v>56</v>
      </c>
      <c r="F99" s="253">
        <v>0</v>
      </c>
      <c r="G99" s="253">
        <v>0</v>
      </c>
      <c r="H99" s="253">
        <v>0</v>
      </c>
      <c r="I99" s="253">
        <v>0</v>
      </c>
      <c r="J99" s="253">
        <v>0</v>
      </c>
      <c r="K99" s="253">
        <v>0</v>
      </c>
      <c r="L99" s="253">
        <v>33.966741500224416</v>
      </c>
      <c r="M99" s="253">
        <v>33.966741500224416</v>
      </c>
      <c r="N99" s="253">
        <v>33.966741500224416</v>
      </c>
    </row>
    <row r="100" spans="2:14" x14ac:dyDescent="0.3">
      <c r="B100" s="4"/>
      <c r="C100" s="4" t="s">
        <v>435</v>
      </c>
      <c r="D100" s="6" t="s">
        <v>322</v>
      </c>
      <c r="E100" s="6" t="s">
        <v>56</v>
      </c>
      <c r="F100" s="253">
        <v>0</v>
      </c>
      <c r="G100" s="253">
        <v>0</v>
      </c>
      <c r="H100" s="253">
        <v>0</v>
      </c>
      <c r="I100" s="253">
        <v>0</v>
      </c>
      <c r="J100" s="253">
        <v>0</v>
      </c>
      <c r="K100" s="253">
        <v>0</v>
      </c>
      <c r="L100" s="253">
        <v>10.689231418312382</v>
      </c>
      <c r="M100" s="253">
        <v>10.689231418312382</v>
      </c>
      <c r="N100" s="253">
        <v>10.689231418312382</v>
      </c>
    </row>
    <row r="101" spans="2:14" x14ac:dyDescent="0.3">
      <c r="B101" s="4"/>
      <c r="C101" s="4" t="s">
        <v>436</v>
      </c>
      <c r="D101" s="6" t="s">
        <v>322</v>
      </c>
      <c r="E101" s="6" t="s">
        <v>56</v>
      </c>
      <c r="F101" s="253">
        <v>0</v>
      </c>
      <c r="G101" s="253">
        <v>0</v>
      </c>
      <c r="H101" s="253">
        <v>0</v>
      </c>
      <c r="I101" s="253">
        <v>0</v>
      </c>
      <c r="J101" s="253">
        <v>0</v>
      </c>
      <c r="K101" s="253">
        <v>0</v>
      </c>
      <c r="L101" s="253">
        <v>8.7624884874326749</v>
      </c>
      <c r="M101" s="253">
        <v>8.7624884874326749</v>
      </c>
      <c r="N101" s="253">
        <v>8.7624884874326749</v>
      </c>
    </row>
    <row r="102" spans="2:14" x14ac:dyDescent="0.3">
      <c r="B102" s="4"/>
      <c r="C102" s="4" t="s">
        <v>437</v>
      </c>
      <c r="D102" s="6" t="s">
        <v>322</v>
      </c>
      <c r="E102" s="6" t="s">
        <v>56</v>
      </c>
      <c r="F102" s="253">
        <v>0</v>
      </c>
      <c r="G102" s="253">
        <v>0</v>
      </c>
      <c r="H102" s="253">
        <v>0</v>
      </c>
      <c r="I102" s="253">
        <v>0</v>
      </c>
      <c r="J102" s="253">
        <v>0</v>
      </c>
      <c r="K102" s="253">
        <v>0</v>
      </c>
      <c r="L102" s="253">
        <v>5.2253022385547574</v>
      </c>
      <c r="M102" s="253">
        <v>5.2253022385547574</v>
      </c>
      <c r="N102" s="253">
        <v>5.2253022385547574</v>
      </c>
    </row>
    <row r="103" spans="2:14" x14ac:dyDescent="0.3">
      <c r="B103" s="4"/>
      <c r="C103" s="4" t="s">
        <v>438</v>
      </c>
      <c r="D103" s="6" t="s">
        <v>322</v>
      </c>
      <c r="E103" s="6" t="s">
        <v>56</v>
      </c>
      <c r="F103" s="253">
        <v>0</v>
      </c>
      <c r="G103" s="253">
        <v>0</v>
      </c>
      <c r="H103" s="253">
        <v>0</v>
      </c>
      <c r="I103" s="253">
        <v>0</v>
      </c>
      <c r="J103" s="253">
        <v>0</v>
      </c>
      <c r="K103" s="253">
        <v>0</v>
      </c>
      <c r="L103" s="253">
        <v>54.184492050044888</v>
      </c>
      <c r="M103" s="253">
        <v>54.184492050044888</v>
      </c>
      <c r="N103" s="253">
        <v>54.184492050044888</v>
      </c>
    </row>
    <row r="104" spans="2:14" x14ac:dyDescent="0.3">
      <c r="B104" s="4"/>
      <c r="C104" s="4" t="s">
        <v>439</v>
      </c>
      <c r="D104" s="6" t="s">
        <v>322</v>
      </c>
      <c r="E104" s="6" t="s">
        <v>56</v>
      </c>
      <c r="F104" s="253">
        <v>0</v>
      </c>
      <c r="G104" s="253">
        <v>0</v>
      </c>
      <c r="H104" s="253">
        <v>0</v>
      </c>
      <c r="I104" s="253">
        <v>0</v>
      </c>
      <c r="J104" s="253">
        <v>0</v>
      </c>
      <c r="K104" s="253">
        <v>0</v>
      </c>
      <c r="L104" s="253">
        <v>0.43003815080789948</v>
      </c>
      <c r="M104" s="253">
        <v>0.43003815080789948</v>
      </c>
      <c r="N104" s="253">
        <v>0.43003815080789948</v>
      </c>
    </row>
    <row r="105" spans="2:14" x14ac:dyDescent="0.3">
      <c r="B105" s="4"/>
      <c r="C105" s="4" t="s">
        <v>440</v>
      </c>
      <c r="D105" s="6" t="s">
        <v>322</v>
      </c>
      <c r="E105" s="6" t="s">
        <v>56</v>
      </c>
      <c r="F105" s="253">
        <v>0</v>
      </c>
      <c r="G105" s="253">
        <v>0</v>
      </c>
      <c r="H105" s="253">
        <v>0</v>
      </c>
      <c r="I105" s="253">
        <v>0</v>
      </c>
      <c r="J105" s="253">
        <v>0</v>
      </c>
      <c r="K105" s="253">
        <v>0</v>
      </c>
      <c r="L105" s="253">
        <v>2.4986580397217235</v>
      </c>
      <c r="M105" s="253">
        <v>2.4986580397217235</v>
      </c>
      <c r="N105" s="253">
        <v>2.4986580397217235</v>
      </c>
    </row>
    <row r="106" spans="2:14" x14ac:dyDescent="0.3">
      <c r="B106" s="4"/>
      <c r="C106" s="4" t="s">
        <v>441</v>
      </c>
      <c r="D106" s="6" t="s">
        <v>322</v>
      </c>
      <c r="E106" s="6" t="s">
        <v>56</v>
      </c>
      <c r="F106" s="253">
        <v>0</v>
      </c>
      <c r="G106" s="253">
        <v>0</v>
      </c>
      <c r="H106" s="253">
        <v>0</v>
      </c>
      <c r="I106" s="253">
        <v>0</v>
      </c>
      <c r="J106" s="253">
        <v>0</v>
      </c>
      <c r="K106" s="253">
        <v>0</v>
      </c>
      <c r="L106" s="253">
        <v>16.348320511669659</v>
      </c>
      <c r="M106" s="253">
        <v>16.348320511669659</v>
      </c>
      <c r="N106" s="253">
        <v>16.348320511669659</v>
      </c>
    </row>
    <row r="107" spans="2:14" x14ac:dyDescent="0.3">
      <c r="B107" s="4"/>
      <c r="C107" s="4" t="s">
        <v>442</v>
      </c>
      <c r="D107" s="6" t="s">
        <v>322</v>
      </c>
      <c r="E107" s="6" t="s">
        <v>56</v>
      </c>
      <c r="F107" s="253">
        <v>0</v>
      </c>
      <c r="G107" s="253">
        <v>0</v>
      </c>
      <c r="H107" s="253">
        <v>0</v>
      </c>
      <c r="I107" s="253">
        <v>0</v>
      </c>
      <c r="J107" s="253">
        <v>0</v>
      </c>
      <c r="K107" s="253">
        <v>0</v>
      </c>
      <c r="L107" s="253">
        <v>127.20589320578995</v>
      </c>
      <c r="M107" s="253">
        <v>127.20589320578995</v>
      </c>
      <c r="N107" s="253">
        <v>127.20589320578995</v>
      </c>
    </row>
    <row r="108" spans="2:14" x14ac:dyDescent="0.3">
      <c r="B108" s="4"/>
      <c r="C108" s="4" t="s">
        <v>443</v>
      </c>
      <c r="D108" s="6" t="s">
        <v>322</v>
      </c>
      <c r="E108" s="6" t="s">
        <v>56</v>
      </c>
      <c r="F108" s="253">
        <v>0</v>
      </c>
      <c r="G108" s="253">
        <v>0</v>
      </c>
      <c r="H108" s="253">
        <v>0</v>
      </c>
      <c r="I108" s="253">
        <v>0</v>
      </c>
      <c r="J108" s="253">
        <v>0</v>
      </c>
      <c r="K108" s="253">
        <v>0</v>
      </c>
      <c r="L108" s="253">
        <v>1.4722873704541171</v>
      </c>
      <c r="M108" s="253">
        <v>1.7667448445449403</v>
      </c>
      <c r="N108" s="253">
        <v>1.7667448445449403</v>
      </c>
    </row>
    <row r="109" spans="2:14" x14ac:dyDescent="0.3">
      <c r="B109" s="4"/>
      <c r="C109" s="4" t="s">
        <v>444</v>
      </c>
      <c r="D109" s="6" t="s">
        <v>322</v>
      </c>
      <c r="E109" s="6" t="s">
        <v>56</v>
      </c>
      <c r="F109" s="253">
        <v>0</v>
      </c>
      <c r="G109" s="253">
        <v>0</v>
      </c>
      <c r="H109" s="253">
        <v>0</v>
      </c>
      <c r="I109" s="253">
        <v>0</v>
      </c>
      <c r="J109" s="253">
        <v>0</v>
      </c>
      <c r="K109" s="253">
        <v>0</v>
      </c>
      <c r="L109" s="253">
        <v>11.836956873822976</v>
      </c>
      <c r="M109" s="253">
        <v>14.204348248587568</v>
      </c>
      <c r="N109" s="253">
        <v>14.204348248587568</v>
      </c>
    </row>
    <row r="110" spans="2:14" x14ac:dyDescent="0.3">
      <c r="B110" s="4"/>
      <c r="C110" s="4" t="s">
        <v>445</v>
      </c>
      <c r="D110" s="6" t="s">
        <v>322</v>
      </c>
      <c r="E110" s="6" t="s">
        <v>56</v>
      </c>
      <c r="F110" s="253">
        <v>0</v>
      </c>
      <c r="G110" s="253">
        <v>0</v>
      </c>
      <c r="H110" s="253">
        <v>0</v>
      </c>
      <c r="I110" s="253">
        <v>0</v>
      </c>
      <c r="J110" s="253">
        <v>0</v>
      </c>
      <c r="K110" s="253">
        <v>0</v>
      </c>
      <c r="L110" s="253">
        <v>0</v>
      </c>
      <c r="M110" s="253">
        <v>9.7004784837827387</v>
      </c>
      <c r="N110" s="253">
        <v>10.582340164126624</v>
      </c>
    </row>
    <row r="111" spans="2:14" x14ac:dyDescent="0.3">
      <c r="B111" s="4"/>
      <c r="C111" s="4" t="s">
        <v>446</v>
      </c>
      <c r="D111" s="6" t="s">
        <v>322</v>
      </c>
      <c r="E111" s="6" t="s">
        <v>56</v>
      </c>
      <c r="F111" s="253">
        <v>0</v>
      </c>
      <c r="G111" s="253">
        <v>0</v>
      </c>
      <c r="H111" s="253">
        <v>0</v>
      </c>
      <c r="I111" s="253">
        <v>0</v>
      </c>
      <c r="J111" s="253">
        <v>0</v>
      </c>
      <c r="K111" s="253">
        <v>0</v>
      </c>
      <c r="L111" s="253">
        <v>0.87023251883239172</v>
      </c>
      <c r="M111" s="253">
        <v>1.0442790225988701</v>
      </c>
      <c r="N111" s="253">
        <v>1.0442790225988701</v>
      </c>
    </row>
    <row r="112" spans="2:14" x14ac:dyDescent="0.3">
      <c r="B112" s="4"/>
      <c r="C112" s="4" t="s">
        <v>447</v>
      </c>
      <c r="D112" s="6" t="s">
        <v>322</v>
      </c>
      <c r="E112" s="6" t="s">
        <v>56</v>
      </c>
      <c r="F112" s="253">
        <v>0</v>
      </c>
      <c r="G112" s="253">
        <v>0</v>
      </c>
      <c r="H112" s="253">
        <v>0</v>
      </c>
      <c r="I112" s="253">
        <v>0</v>
      </c>
      <c r="J112" s="253">
        <v>0</v>
      </c>
      <c r="K112" s="253">
        <v>0</v>
      </c>
      <c r="L112" s="253">
        <v>30.143029741054608</v>
      </c>
      <c r="M112" s="253">
        <v>36.171635689265528</v>
      </c>
      <c r="N112" s="253">
        <v>36.171635689265528</v>
      </c>
    </row>
    <row r="113" spans="2:14" x14ac:dyDescent="0.3">
      <c r="B113" s="4"/>
      <c r="C113" s="4" t="s">
        <v>448</v>
      </c>
      <c r="D113" s="6" t="s">
        <v>322</v>
      </c>
      <c r="E113" s="6" t="s">
        <v>56</v>
      </c>
      <c r="F113" s="253">
        <v>0</v>
      </c>
      <c r="G113" s="253">
        <v>0</v>
      </c>
      <c r="H113" s="253">
        <v>0</v>
      </c>
      <c r="I113" s="253">
        <v>0</v>
      </c>
      <c r="J113" s="253">
        <v>0</v>
      </c>
      <c r="K113" s="253">
        <v>0</v>
      </c>
      <c r="L113" s="253">
        <v>1.7891787900188321</v>
      </c>
      <c r="M113" s="253">
        <v>2.1470145480225984</v>
      </c>
      <c r="N113" s="253">
        <v>2.1470145480225984</v>
      </c>
    </row>
    <row r="114" spans="2:14" x14ac:dyDescent="0.3">
      <c r="B114" s="4"/>
      <c r="C114" s="4" t="s">
        <v>449</v>
      </c>
      <c r="D114" s="6" t="s">
        <v>322</v>
      </c>
      <c r="E114" s="6" t="s">
        <v>56</v>
      </c>
      <c r="F114" s="253">
        <v>0</v>
      </c>
      <c r="G114" s="253">
        <v>0</v>
      </c>
      <c r="H114" s="253">
        <v>0</v>
      </c>
      <c r="I114" s="253">
        <v>0</v>
      </c>
      <c r="J114" s="253">
        <v>0</v>
      </c>
      <c r="K114" s="253">
        <v>0</v>
      </c>
      <c r="L114" s="253">
        <v>14.402231520715631</v>
      </c>
      <c r="M114" s="253">
        <v>17.282677824858755</v>
      </c>
      <c r="N114" s="253">
        <v>17.282677824858755</v>
      </c>
    </row>
    <row r="115" spans="2:14" x14ac:dyDescent="0.3">
      <c r="B115" s="4"/>
      <c r="C115" s="4" t="s">
        <v>450</v>
      </c>
      <c r="D115" s="6" t="s">
        <v>322</v>
      </c>
      <c r="E115" s="6" t="s">
        <v>56</v>
      </c>
      <c r="F115" s="253">
        <v>0</v>
      </c>
      <c r="G115" s="253">
        <v>0</v>
      </c>
      <c r="H115" s="253">
        <v>0</v>
      </c>
      <c r="I115" s="253">
        <v>0</v>
      </c>
      <c r="J115" s="253">
        <v>0</v>
      </c>
      <c r="K115" s="253">
        <v>0</v>
      </c>
      <c r="L115" s="253">
        <v>10.049962241054613</v>
      </c>
      <c r="M115" s="253">
        <v>12.059954689265535</v>
      </c>
      <c r="N115" s="253">
        <v>12.059954689265535</v>
      </c>
    </row>
    <row r="116" spans="2:14" x14ac:dyDescent="0.3">
      <c r="B116" s="4"/>
      <c r="C116" s="4" t="s">
        <v>370</v>
      </c>
      <c r="D116" s="6" t="s">
        <v>322</v>
      </c>
      <c r="E116" s="6" t="s">
        <v>56</v>
      </c>
      <c r="F116" s="253">
        <v>0</v>
      </c>
      <c r="G116" s="253">
        <v>0</v>
      </c>
      <c r="H116" s="253">
        <v>0</v>
      </c>
      <c r="I116" s="253">
        <v>0</v>
      </c>
      <c r="J116" s="253">
        <v>0</v>
      </c>
      <c r="K116" s="253">
        <v>0</v>
      </c>
      <c r="L116" s="253">
        <v>7.9990846856218205</v>
      </c>
      <c r="M116" s="253">
        <v>31.996338742487282</v>
      </c>
      <c r="N116" s="253">
        <v>31.996338742487282</v>
      </c>
    </row>
    <row r="117" spans="2:14" x14ac:dyDescent="0.3">
      <c r="B117" s="4"/>
      <c r="C117" s="223" t="s">
        <v>464</v>
      </c>
      <c r="D117" s="254" t="s">
        <v>322</v>
      </c>
      <c r="E117" s="254" t="s">
        <v>56</v>
      </c>
      <c r="F117" s="264">
        <v>0</v>
      </c>
      <c r="G117" s="264">
        <v>0</v>
      </c>
      <c r="H117" s="264">
        <v>0</v>
      </c>
      <c r="I117" s="264">
        <v>0</v>
      </c>
      <c r="J117" s="264">
        <v>0</v>
      </c>
      <c r="K117" s="264">
        <v>19.989824859126983</v>
      </c>
      <c r="L117" s="264">
        <v>28.348492833333331</v>
      </c>
      <c r="M117" s="264">
        <v>28.348492833333331</v>
      </c>
      <c r="N117" s="264">
        <v>25.227065611111108</v>
      </c>
    </row>
    <row r="118" spans="2:14" x14ac:dyDescent="0.3">
      <c r="B118" s="4"/>
      <c r="C118" s="223" t="s">
        <v>465</v>
      </c>
      <c r="D118" s="254" t="s">
        <v>322</v>
      </c>
      <c r="E118" s="254" t="s">
        <v>56</v>
      </c>
      <c r="F118" s="264">
        <v>0</v>
      </c>
      <c r="G118" s="264">
        <v>0</v>
      </c>
      <c r="H118" s="264">
        <v>0</v>
      </c>
      <c r="I118" s="264">
        <v>0</v>
      </c>
      <c r="J118" s="264">
        <v>0</v>
      </c>
      <c r="K118" s="264">
        <v>0</v>
      </c>
      <c r="L118" s="264">
        <v>25.168504142857142</v>
      </c>
      <c r="M118" s="264">
        <v>25.168504142857142</v>
      </c>
      <c r="N118" s="264">
        <v>25.168504142857142</v>
      </c>
    </row>
    <row r="119" spans="2:14" x14ac:dyDescent="0.3">
      <c r="B119" s="4"/>
      <c r="C119" s="4"/>
      <c r="D119" s="6"/>
      <c r="E119" s="6"/>
      <c r="F119" s="8"/>
      <c r="G119" s="205"/>
      <c r="H119" s="205"/>
      <c r="I119" s="205"/>
      <c r="J119" s="205"/>
      <c r="K119" s="205"/>
      <c r="L119" s="260"/>
      <c r="M119" s="205"/>
      <c r="N119" s="205"/>
    </row>
    <row r="120" spans="2:14" x14ac:dyDescent="0.3">
      <c r="B120" s="7" t="s">
        <v>374</v>
      </c>
      <c r="C120" s="4"/>
      <c r="D120" s="4"/>
      <c r="E120" s="4"/>
      <c r="F120" s="8"/>
      <c r="G120" s="205"/>
      <c r="H120" s="205"/>
      <c r="I120" s="205"/>
      <c r="J120" s="205"/>
      <c r="K120" s="205"/>
      <c r="L120" s="205"/>
      <c r="M120" s="205"/>
      <c r="N120" s="205"/>
    </row>
    <row r="121" spans="2:14" x14ac:dyDescent="0.3">
      <c r="B121" s="7"/>
      <c r="C121" s="4" t="s">
        <v>375</v>
      </c>
      <c r="D121" s="6" t="s">
        <v>322</v>
      </c>
      <c r="E121" s="6" t="s">
        <v>56</v>
      </c>
      <c r="F121" s="253">
        <v>0</v>
      </c>
      <c r="G121" s="253">
        <v>0</v>
      </c>
      <c r="H121" s="253">
        <v>597.66716000000008</v>
      </c>
      <c r="I121" s="253">
        <v>967.30044711111123</v>
      </c>
      <c r="J121" s="253">
        <v>1467.5001573333334</v>
      </c>
      <c r="K121" s="253">
        <v>1467.5001573333334</v>
      </c>
      <c r="L121" s="253">
        <v>1467.5001573333334</v>
      </c>
      <c r="M121" s="253">
        <v>1467.5001573333334</v>
      </c>
      <c r="N121" s="253">
        <v>1467.5001573333334</v>
      </c>
    </row>
    <row r="122" spans="2:14" x14ac:dyDescent="0.3">
      <c r="B122" s="7"/>
      <c r="C122" s="4" t="s">
        <v>376</v>
      </c>
      <c r="D122" s="6" t="s">
        <v>322</v>
      </c>
      <c r="E122" s="6" t="s">
        <v>56</v>
      </c>
      <c r="F122" s="253">
        <v>0</v>
      </c>
      <c r="G122" s="253">
        <v>0</v>
      </c>
      <c r="H122" s="253">
        <v>40.273295000000012</v>
      </c>
      <c r="I122" s="253">
        <v>48.327954000000005</v>
      </c>
      <c r="J122" s="253">
        <v>48.327954000000005</v>
      </c>
      <c r="K122" s="253">
        <v>48.327954000000005</v>
      </c>
      <c r="L122" s="253">
        <v>48.327954000000005</v>
      </c>
      <c r="M122" s="253">
        <v>48.327954000000005</v>
      </c>
      <c r="N122" s="253">
        <v>48.327954000000005</v>
      </c>
    </row>
    <row r="123" spans="2:14" x14ac:dyDescent="0.3">
      <c r="B123" s="7"/>
      <c r="C123" s="4" t="s">
        <v>377</v>
      </c>
      <c r="D123" s="6" t="s">
        <v>322</v>
      </c>
      <c r="E123" s="6" t="s">
        <v>56</v>
      </c>
      <c r="F123" s="253">
        <v>0</v>
      </c>
      <c r="G123" s="253">
        <v>0</v>
      </c>
      <c r="H123" s="253">
        <v>188.09900608333334</v>
      </c>
      <c r="I123" s="253">
        <v>287.11388400000004</v>
      </c>
      <c r="J123" s="253">
        <v>287.11388400000004</v>
      </c>
      <c r="K123" s="253">
        <v>287.11388400000004</v>
      </c>
      <c r="L123" s="253">
        <v>287.11388400000004</v>
      </c>
      <c r="M123" s="253">
        <v>287.11388400000004</v>
      </c>
      <c r="N123" s="253">
        <v>287.11388400000004</v>
      </c>
    </row>
    <row r="124" spans="2:14" x14ac:dyDescent="0.3">
      <c r="B124" s="7"/>
      <c r="C124" s="4" t="s">
        <v>378</v>
      </c>
      <c r="D124" s="6" t="s">
        <v>322</v>
      </c>
      <c r="E124" s="6" t="s">
        <v>56</v>
      </c>
      <c r="F124" s="253">
        <v>0</v>
      </c>
      <c r="G124" s="253">
        <v>0</v>
      </c>
      <c r="H124" s="253">
        <v>0</v>
      </c>
      <c r="I124" s="253">
        <v>29.025962857142858</v>
      </c>
      <c r="J124" s="253">
        <v>58.051925714285716</v>
      </c>
      <c r="K124" s="253">
        <v>58.051925714285716</v>
      </c>
      <c r="L124" s="253">
        <v>58.051925714285716</v>
      </c>
      <c r="M124" s="253">
        <v>58.051925714285716</v>
      </c>
      <c r="N124" s="253">
        <v>58.051925714285716</v>
      </c>
    </row>
    <row r="125" spans="2:14" x14ac:dyDescent="0.3">
      <c r="B125" s="7"/>
      <c r="C125" s="4" t="s">
        <v>379</v>
      </c>
      <c r="D125" s="6" t="s">
        <v>322</v>
      </c>
      <c r="E125" s="6" t="s">
        <v>56</v>
      </c>
      <c r="F125" s="253">
        <v>0</v>
      </c>
      <c r="G125" s="253">
        <v>0</v>
      </c>
      <c r="H125" s="253">
        <v>0</v>
      </c>
      <c r="I125" s="253">
        <v>1.9449150000000002</v>
      </c>
      <c r="J125" s="253">
        <v>7.7796600000000007</v>
      </c>
      <c r="K125" s="253">
        <v>7.7796600000000007</v>
      </c>
      <c r="L125" s="253">
        <v>7.7796600000000007</v>
      </c>
      <c r="M125" s="253">
        <v>7.7796600000000007</v>
      </c>
      <c r="N125" s="253">
        <v>5.8347450000000016</v>
      </c>
    </row>
    <row r="126" spans="2:14" x14ac:dyDescent="0.3">
      <c r="B126" s="7"/>
      <c r="C126" s="4" t="s">
        <v>380</v>
      </c>
      <c r="D126" s="6" t="s">
        <v>322</v>
      </c>
      <c r="E126" s="6" t="s">
        <v>56</v>
      </c>
      <c r="F126" s="253">
        <v>0</v>
      </c>
      <c r="G126" s="253">
        <v>0</v>
      </c>
      <c r="H126" s="253">
        <v>0</v>
      </c>
      <c r="I126" s="253">
        <v>2.3898299999999999</v>
      </c>
      <c r="J126" s="253">
        <v>9.5593199999999996</v>
      </c>
      <c r="K126" s="253">
        <v>9.5593199999999996</v>
      </c>
      <c r="L126" s="253">
        <v>9.5593199999999996</v>
      </c>
      <c r="M126" s="253">
        <v>9.5593199999999996</v>
      </c>
      <c r="N126" s="253">
        <v>7.1694899999999979</v>
      </c>
    </row>
    <row r="127" spans="2:14" x14ac:dyDescent="0.3">
      <c r="B127" s="7"/>
      <c r="C127" s="4" t="s">
        <v>381</v>
      </c>
      <c r="D127" s="6" t="s">
        <v>322</v>
      </c>
      <c r="E127" s="6" t="s">
        <v>56</v>
      </c>
      <c r="F127" s="253">
        <v>0</v>
      </c>
      <c r="G127" s="253">
        <v>0</v>
      </c>
      <c r="H127" s="253">
        <v>0</v>
      </c>
      <c r="I127" s="253">
        <v>4.8996460714285712</v>
      </c>
      <c r="J127" s="253">
        <v>19.598584285714285</v>
      </c>
      <c r="K127" s="253">
        <v>19.598584285714285</v>
      </c>
      <c r="L127" s="253">
        <v>19.598584285714285</v>
      </c>
      <c r="M127" s="253">
        <v>19.598584285714285</v>
      </c>
      <c r="N127" s="253">
        <v>19.598584285714285</v>
      </c>
    </row>
    <row r="128" spans="2:14" x14ac:dyDescent="0.3">
      <c r="B128" s="7"/>
      <c r="C128" s="4" t="s">
        <v>382</v>
      </c>
      <c r="D128" s="6" t="s">
        <v>322</v>
      </c>
      <c r="E128" s="6" t="s">
        <v>56</v>
      </c>
      <c r="F128" s="253">
        <v>0</v>
      </c>
      <c r="G128" s="253">
        <v>0</v>
      </c>
      <c r="H128" s="253">
        <v>0</v>
      </c>
      <c r="I128" s="253">
        <v>3.076392499999999</v>
      </c>
      <c r="J128" s="253">
        <v>12.305569999999996</v>
      </c>
      <c r="K128" s="253">
        <v>12.305569999999996</v>
      </c>
      <c r="L128" s="253">
        <v>12.305569999999996</v>
      </c>
      <c r="M128" s="253">
        <v>12.305569999999996</v>
      </c>
      <c r="N128" s="253">
        <v>12.305569999999996</v>
      </c>
    </row>
    <row r="129" spans="2:14" x14ac:dyDescent="0.3">
      <c r="B129" s="7"/>
      <c r="C129" s="4" t="s">
        <v>383</v>
      </c>
      <c r="D129" s="6" t="s">
        <v>322</v>
      </c>
      <c r="E129" s="6" t="s">
        <v>56</v>
      </c>
      <c r="F129" s="253">
        <v>0</v>
      </c>
      <c r="G129" s="253">
        <v>0</v>
      </c>
      <c r="H129" s="253">
        <v>0</v>
      </c>
      <c r="I129" s="253">
        <v>0.96927950000000007</v>
      </c>
      <c r="J129" s="253">
        <v>3.8771180000000003</v>
      </c>
      <c r="K129" s="253">
        <v>3.8771180000000003</v>
      </c>
      <c r="L129" s="253">
        <v>3.8771180000000003</v>
      </c>
      <c r="M129" s="253">
        <v>3.8771180000000003</v>
      </c>
      <c r="N129" s="253">
        <v>2.9078384999999982</v>
      </c>
    </row>
    <row r="130" spans="2:14" x14ac:dyDescent="0.3">
      <c r="B130" s="7"/>
      <c r="C130" s="4" t="s">
        <v>384</v>
      </c>
      <c r="D130" s="6" t="s">
        <v>322</v>
      </c>
      <c r="E130" s="6" t="s">
        <v>56</v>
      </c>
      <c r="F130" s="253">
        <v>0</v>
      </c>
      <c r="G130" s="253">
        <v>0</v>
      </c>
      <c r="H130" s="253">
        <v>0</v>
      </c>
      <c r="I130" s="253">
        <v>9.5714380000000006</v>
      </c>
      <c r="J130" s="253">
        <v>38.285752000000002</v>
      </c>
      <c r="K130" s="253">
        <v>38.285752000000002</v>
      </c>
      <c r="L130" s="253">
        <v>38.285752000000002</v>
      </c>
      <c r="M130" s="253">
        <v>38.285752000000002</v>
      </c>
      <c r="N130" s="253">
        <v>28.714313999999963</v>
      </c>
    </row>
    <row r="131" spans="2:14" x14ac:dyDescent="0.3">
      <c r="B131" s="7"/>
      <c r="C131" s="4" t="s">
        <v>348</v>
      </c>
      <c r="D131" s="6" t="s">
        <v>322</v>
      </c>
      <c r="E131" s="6" t="s">
        <v>56</v>
      </c>
      <c r="F131" s="253">
        <v>0</v>
      </c>
      <c r="G131" s="253">
        <v>0</v>
      </c>
      <c r="H131" s="253">
        <v>0</v>
      </c>
      <c r="I131" s="253">
        <v>52.164373571428563</v>
      </c>
      <c r="J131" s="253">
        <v>236.56593714285714</v>
      </c>
      <c r="K131" s="253">
        <v>275.63775714285714</v>
      </c>
      <c r="L131" s="253">
        <v>275.63775714285714</v>
      </c>
      <c r="M131" s="253">
        <v>275.63775714285714</v>
      </c>
      <c r="N131" s="253">
        <v>275.63775714285714</v>
      </c>
    </row>
    <row r="132" spans="2:14" x14ac:dyDescent="0.3">
      <c r="B132" s="7"/>
      <c r="C132" s="4" t="s">
        <v>385</v>
      </c>
      <c r="D132" s="6" t="s">
        <v>322</v>
      </c>
      <c r="E132" s="6" t="s">
        <v>56</v>
      </c>
      <c r="F132" s="253">
        <v>0</v>
      </c>
      <c r="G132" s="253">
        <v>0</v>
      </c>
      <c r="H132" s="253">
        <v>0</v>
      </c>
      <c r="I132" s="253">
        <v>20.807157142857143</v>
      </c>
      <c r="J132" s="253">
        <v>87.352667142857143</v>
      </c>
      <c r="K132" s="253">
        <v>95.600744285714271</v>
      </c>
      <c r="L132" s="253">
        <v>95.600744285714271</v>
      </c>
      <c r="M132" s="253">
        <v>95.600744285714271</v>
      </c>
      <c r="N132" s="253">
        <v>95.600744285714271</v>
      </c>
    </row>
    <row r="133" spans="2:14" x14ac:dyDescent="0.3">
      <c r="B133" s="7"/>
      <c r="C133" s="4" t="s">
        <v>386</v>
      </c>
      <c r="D133" s="6" t="s">
        <v>322</v>
      </c>
      <c r="E133" s="6" t="s">
        <v>56</v>
      </c>
      <c r="F133" s="253">
        <v>0</v>
      </c>
      <c r="G133" s="253">
        <v>0</v>
      </c>
      <c r="H133" s="253">
        <v>0</v>
      </c>
      <c r="I133" s="253">
        <v>0</v>
      </c>
      <c r="J133" s="253">
        <v>1069.34366875</v>
      </c>
      <c r="K133" s="253">
        <v>1804.7053109999997</v>
      </c>
      <c r="L133" s="253">
        <v>1804.7053109999997</v>
      </c>
      <c r="M133" s="253">
        <v>1804.7053109999997</v>
      </c>
      <c r="N133" s="253">
        <v>1804.7053109999997</v>
      </c>
    </row>
    <row r="134" spans="2:14" x14ac:dyDescent="0.3">
      <c r="B134" s="7"/>
      <c r="C134" s="4" t="s">
        <v>387</v>
      </c>
      <c r="D134" s="6" t="s">
        <v>322</v>
      </c>
      <c r="E134" s="6" t="s">
        <v>56</v>
      </c>
      <c r="F134" s="253">
        <v>0</v>
      </c>
      <c r="G134" s="253">
        <v>0</v>
      </c>
      <c r="H134" s="253">
        <v>0</v>
      </c>
      <c r="I134" s="253">
        <v>0</v>
      </c>
      <c r="J134" s="253">
        <v>72.95859999999999</v>
      </c>
      <c r="K134" s="253">
        <v>123.13050714285713</v>
      </c>
      <c r="L134" s="253">
        <v>123.13050714285713</v>
      </c>
      <c r="M134" s="253">
        <v>123.13050714285713</v>
      </c>
      <c r="N134" s="253">
        <v>123.13050714285713</v>
      </c>
    </row>
    <row r="135" spans="2:14" x14ac:dyDescent="0.3">
      <c r="B135" s="7"/>
      <c r="C135" s="4" t="s">
        <v>388</v>
      </c>
      <c r="D135" s="6" t="s">
        <v>322</v>
      </c>
      <c r="E135" s="6" t="s">
        <v>56</v>
      </c>
      <c r="F135" s="253">
        <v>0</v>
      </c>
      <c r="G135" s="253">
        <v>0</v>
      </c>
      <c r="H135" s="253">
        <v>0</v>
      </c>
      <c r="I135" s="253">
        <v>0</v>
      </c>
      <c r="J135" s="253">
        <v>766.37770766666665</v>
      </c>
      <c r="K135" s="253">
        <v>1293.1548906666665</v>
      </c>
      <c r="L135" s="253">
        <v>1293.1548906666665</v>
      </c>
      <c r="M135" s="253">
        <v>1293.1548906666665</v>
      </c>
      <c r="N135" s="253">
        <v>1293.1548906666665</v>
      </c>
    </row>
    <row r="136" spans="2:14" x14ac:dyDescent="0.3">
      <c r="B136" s="7"/>
      <c r="C136" s="4" t="s">
        <v>389</v>
      </c>
      <c r="D136" s="6" t="s">
        <v>322</v>
      </c>
      <c r="E136" s="6" t="s">
        <v>56</v>
      </c>
      <c r="F136" s="253">
        <v>0</v>
      </c>
      <c r="G136" s="253">
        <v>0</v>
      </c>
      <c r="H136" s="253">
        <v>0</v>
      </c>
      <c r="I136" s="253">
        <v>0</v>
      </c>
      <c r="J136" s="253">
        <v>58.932871666666657</v>
      </c>
      <c r="K136" s="253">
        <v>99.459593999999981</v>
      </c>
      <c r="L136" s="253">
        <v>99.459593999999981</v>
      </c>
      <c r="M136" s="253">
        <v>99.459593999999981</v>
      </c>
      <c r="N136" s="253">
        <v>99.459593999999981</v>
      </c>
    </row>
    <row r="137" spans="2:14" x14ac:dyDescent="0.3">
      <c r="B137" s="7"/>
      <c r="C137" s="4" t="s">
        <v>349</v>
      </c>
      <c r="D137" s="6" t="s">
        <v>322</v>
      </c>
      <c r="E137" s="6" t="s">
        <v>56</v>
      </c>
      <c r="F137" s="253">
        <v>0</v>
      </c>
      <c r="G137" s="253">
        <v>0</v>
      </c>
      <c r="H137" s="253">
        <v>0</v>
      </c>
      <c r="I137" s="253">
        <v>41.680614285714285</v>
      </c>
      <c r="J137" s="253">
        <v>166.72245714285714</v>
      </c>
      <c r="K137" s="253">
        <v>166.72245714285714</v>
      </c>
      <c r="L137" s="253">
        <v>166.72245714285714</v>
      </c>
      <c r="M137" s="253">
        <v>166.72245714285714</v>
      </c>
      <c r="N137" s="253">
        <v>166.72245714285714</v>
      </c>
    </row>
    <row r="138" spans="2:14" x14ac:dyDescent="0.3">
      <c r="B138" s="7"/>
      <c r="C138" s="4" t="s">
        <v>390</v>
      </c>
      <c r="D138" s="6" t="s">
        <v>322</v>
      </c>
      <c r="E138" s="6" t="s">
        <v>56</v>
      </c>
      <c r="F138" s="253">
        <v>0</v>
      </c>
      <c r="G138" s="253">
        <v>0</v>
      </c>
      <c r="H138" s="253">
        <v>0</v>
      </c>
      <c r="I138" s="253">
        <v>0</v>
      </c>
      <c r="J138" s="253">
        <v>62.25163633333333</v>
      </c>
      <c r="K138" s="253">
        <v>372.04515311111118</v>
      </c>
      <c r="L138" s="253">
        <v>372.27307533333334</v>
      </c>
      <c r="M138" s="253">
        <v>372.27307533333334</v>
      </c>
      <c r="N138" s="253">
        <v>372.27307533333334</v>
      </c>
    </row>
    <row r="139" spans="2:14" x14ac:dyDescent="0.3">
      <c r="B139" s="7"/>
      <c r="C139" s="4" t="s">
        <v>391</v>
      </c>
      <c r="D139" s="6" t="s">
        <v>322</v>
      </c>
      <c r="E139" s="6" t="s">
        <v>56</v>
      </c>
      <c r="F139" s="253">
        <v>0</v>
      </c>
      <c r="G139" s="253">
        <v>0</v>
      </c>
      <c r="H139" s="253">
        <v>0</v>
      </c>
      <c r="I139" s="253">
        <v>0</v>
      </c>
      <c r="J139" s="253">
        <v>0</v>
      </c>
      <c r="K139" s="253">
        <v>0</v>
      </c>
      <c r="L139" s="253">
        <v>31.057778571428571</v>
      </c>
      <c r="M139" s="253">
        <v>31.057778571428571</v>
      </c>
      <c r="N139" s="253">
        <v>31.057778571428571</v>
      </c>
    </row>
    <row r="140" spans="2:14" x14ac:dyDescent="0.3">
      <c r="B140" s="7"/>
      <c r="C140" s="4" t="s">
        <v>392</v>
      </c>
      <c r="D140" s="6" t="s">
        <v>322</v>
      </c>
      <c r="E140" s="6" t="s">
        <v>56</v>
      </c>
      <c r="F140" s="253">
        <v>0</v>
      </c>
      <c r="G140" s="253">
        <v>0</v>
      </c>
      <c r="H140" s="253">
        <v>0</v>
      </c>
      <c r="I140" s="253">
        <v>0</v>
      </c>
      <c r="J140" s="253">
        <v>0</v>
      </c>
      <c r="K140" s="253">
        <v>497.92257055555558</v>
      </c>
      <c r="L140" s="253">
        <v>597.50708466666663</v>
      </c>
      <c r="M140" s="253">
        <v>597.50708466666663</v>
      </c>
      <c r="N140" s="253">
        <v>597.50708466666663</v>
      </c>
    </row>
    <row r="141" spans="2:14" x14ac:dyDescent="0.3">
      <c r="B141" s="7"/>
      <c r="C141" s="4" t="s">
        <v>393</v>
      </c>
      <c r="D141" s="6" t="s">
        <v>322</v>
      </c>
      <c r="E141" s="6" t="s">
        <v>56</v>
      </c>
      <c r="F141" s="253">
        <v>0</v>
      </c>
      <c r="G141" s="253">
        <v>0</v>
      </c>
      <c r="H141" s="253">
        <v>0</v>
      </c>
      <c r="I141" s="253">
        <v>0</v>
      </c>
      <c r="J141" s="253">
        <v>2.0935523809523806</v>
      </c>
      <c r="K141" s="253">
        <v>6.2806571428571427</v>
      </c>
      <c r="L141" s="253">
        <v>6.2806571428571427</v>
      </c>
      <c r="M141" s="253">
        <v>6.2806571428571427</v>
      </c>
      <c r="N141" s="253">
        <v>6.2806571428571427</v>
      </c>
    </row>
    <row r="142" spans="2:14" x14ac:dyDescent="0.3">
      <c r="B142" s="7"/>
      <c r="C142" s="4" t="s">
        <v>394</v>
      </c>
      <c r="D142" s="6" t="s">
        <v>322</v>
      </c>
      <c r="E142" s="6" t="s">
        <v>56</v>
      </c>
      <c r="F142" s="253">
        <v>0</v>
      </c>
      <c r="G142" s="253">
        <v>0</v>
      </c>
      <c r="H142" s="253">
        <v>0</v>
      </c>
      <c r="I142" s="253">
        <v>0</v>
      </c>
      <c r="J142" s="253">
        <v>17.672575000000002</v>
      </c>
      <c r="K142" s="253">
        <v>35.345150000000004</v>
      </c>
      <c r="L142" s="253">
        <v>35.345150000000004</v>
      </c>
      <c r="M142" s="253">
        <v>17.672575000000013</v>
      </c>
      <c r="N142" s="253">
        <v>0</v>
      </c>
    </row>
    <row r="143" spans="2:14" x14ac:dyDescent="0.3">
      <c r="B143" s="7"/>
      <c r="C143" s="4" t="s">
        <v>395</v>
      </c>
      <c r="D143" s="6" t="s">
        <v>322</v>
      </c>
      <c r="E143" s="6" t="s">
        <v>56</v>
      </c>
      <c r="F143" s="253">
        <v>0</v>
      </c>
      <c r="G143" s="253">
        <v>0</v>
      </c>
      <c r="H143" s="253">
        <v>0</v>
      </c>
      <c r="I143" s="253">
        <v>0</v>
      </c>
      <c r="J143" s="253">
        <v>0</v>
      </c>
      <c r="K143" s="253">
        <v>0</v>
      </c>
      <c r="L143" s="253">
        <v>1265.2101933333333</v>
      </c>
      <c r="M143" s="253">
        <v>1265.2101933333333</v>
      </c>
      <c r="N143" s="253">
        <v>1265.2101933333333</v>
      </c>
    </row>
    <row r="144" spans="2:14" x14ac:dyDescent="0.3">
      <c r="B144" s="7"/>
      <c r="C144" s="4" t="s">
        <v>396</v>
      </c>
      <c r="D144" s="6" t="s">
        <v>322</v>
      </c>
      <c r="E144" s="6" t="s">
        <v>56</v>
      </c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3">
        <v>0</v>
      </c>
      <c r="L144" s="253">
        <v>0</v>
      </c>
      <c r="M144" s="253">
        <v>3.50325825</v>
      </c>
      <c r="N144" s="253">
        <v>42.039099</v>
      </c>
    </row>
    <row r="145" spans="2:14" x14ac:dyDescent="0.3">
      <c r="B145" s="7"/>
      <c r="C145" s="4" t="s">
        <v>385</v>
      </c>
      <c r="D145" s="6" t="s">
        <v>322</v>
      </c>
      <c r="E145" s="6" t="s">
        <v>56</v>
      </c>
      <c r="F145" s="253">
        <v>0</v>
      </c>
      <c r="G145" s="253">
        <v>0</v>
      </c>
      <c r="H145" s="253">
        <v>0</v>
      </c>
      <c r="I145" s="253">
        <v>0</v>
      </c>
      <c r="J145" s="253">
        <v>0</v>
      </c>
      <c r="K145" s="253">
        <v>0</v>
      </c>
      <c r="L145" s="253">
        <v>18.13955809523809</v>
      </c>
      <c r="M145" s="253">
        <v>54.418674285714282</v>
      </c>
      <c r="N145" s="253">
        <v>54.418674285714282</v>
      </c>
    </row>
    <row r="146" spans="2:14" x14ac:dyDescent="0.3">
      <c r="B146" s="7"/>
      <c r="C146" s="4" t="s">
        <v>349</v>
      </c>
      <c r="D146" s="6" t="s">
        <v>322</v>
      </c>
      <c r="E146" s="6" t="s">
        <v>56</v>
      </c>
      <c r="F146" s="253">
        <v>0</v>
      </c>
      <c r="G146" s="253">
        <v>0</v>
      </c>
      <c r="H146" s="253">
        <v>0</v>
      </c>
      <c r="I146" s="253">
        <v>0</v>
      </c>
      <c r="J146" s="253">
        <v>0</v>
      </c>
      <c r="K146" s="253">
        <v>0</v>
      </c>
      <c r="L146" s="253">
        <v>109.54102559523805</v>
      </c>
      <c r="M146" s="253">
        <v>226.21897857142852</v>
      </c>
      <c r="N146" s="253">
        <v>226.21897857142852</v>
      </c>
    </row>
    <row r="147" spans="2:14" x14ac:dyDescent="0.3">
      <c r="B147" s="7"/>
      <c r="C147" s="4" t="s">
        <v>397</v>
      </c>
      <c r="D147" s="6" t="s">
        <v>322</v>
      </c>
      <c r="E147" s="6" t="s">
        <v>56</v>
      </c>
      <c r="F147" s="253">
        <v>0</v>
      </c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4.583113611111111</v>
      </c>
      <c r="M147" s="253">
        <v>9.3612533333333339</v>
      </c>
      <c r="N147" s="253">
        <v>9.3612533333333339</v>
      </c>
    </row>
    <row r="148" spans="2:14" x14ac:dyDescent="0.3">
      <c r="B148" s="7"/>
      <c r="C148" s="4" t="s">
        <v>390</v>
      </c>
      <c r="D148" s="6" t="s">
        <v>322</v>
      </c>
      <c r="E148" s="6" t="s">
        <v>56</v>
      </c>
      <c r="F148" s="253">
        <v>0</v>
      </c>
      <c r="G148" s="253">
        <v>0</v>
      </c>
      <c r="H148" s="253">
        <v>0</v>
      </c>
      <c r="I148" s="253">
        <v>0</v>
      </c>
      <c r="J148" s="253">
        <v>0</v>
      </c>
      <c r="K148" s="253">
        <v>0</v>
      </c>
      <c r="L148" s="253">
        <v>105.74506827777778</v>
      </c>
      <c r="M148" s="253">
        <v>217.82364133333334</v>
      </c>
      <c r="N148" s="253">
        <v>217.82364133333334</v>
      </c>
    </row>
    <row r="149" spans="2:14" x14ac:dyDescent="0.3">
      <c r="B149" s="7"/>
      <c r="C149" s="4" t="s">
        <v>398</v>
      </c>
      <c r="D149" s="6" t="s">
        <v>322</v>
      </c>
      <c r="E149" s="6" t="s">
        <v>56</v>
      </c>
      <c r="F149" s="253">
        <v>0</v>
      </c>
      <c r="G149" s="253">
        <v>0</v>
      </c>
      <c r="H149" s="253">
        <v>0</v>
      </c>
      <c r="I149" s="253">
        <v>0</v>
      </c>
      <c r="J149" s="253">
        <v>0</v>
      </c>
      <c r="K149" s="253">
        <v>0</v>
      </c>
      <c r="L149" s="253">
        <v>12.713071428571428</v>
      </c>
      <c r="M149" s="253">
        <v>25.426142857142857</v>
      </c>
      <c r="N149" s="253">
        <v>25.426142857142857</v>
      </c>
    </row>
    <row r="150" spans="2:14" x14ac:dyDescent="0.3">
      <c r="B150" s="7"/>
      <c r="C150" s="4" t="s">
        <v>399</v>
      </c>
      <c r="D150" s="6" t="s">
        <v>322</v>
      </c>
      <c r="E150" s="6" t="s">
        <v>56</v>
      </c>
      <c r="F150" s="253">
        <v>0</v>
      </c>
      <c r="G150" s="253">
        <v>0</v>
      </c>
      <c r="H150" s="253">
        <v>0</v>
      </c>
      <c r="I150" s="253">
        <v>0</v>
      </c>
      <c r="J150" s="253">
        <v>0</v>
      </c>
      <c r="K150" s="253">
        <v>0</v>
      </c>
      <c r="L150" s="253">
        <v>17.530409166666665</v>
      </c>
      <c r="M150" s="253">
        <v>38.34084142857143</v>
      </c>
      <c r="N150" s="253">
        <v>38.34084142857143</v>
      </c>
    </row>
    <row r="151" spans="2:14" x14ac:dyDescent="0.3">
      <c r="B151" s="7"/>
      <c r="C151" s="4" t="s">
        <v>400</v>
      </c>
      <c r="D151" s="6" t="s">
        <v>322</v>
      </c>
      <c r="E151" s="6" t="s">
        <v>56</v>
      </c>
      <c r="F151" s="253">
        <v>0</v>
      </c>
      <c r="G151" s="253">
        <v>0</v>
      </c>
      <c r="H151" s="253">
        <v>0</v>
      </c>
      <c r="I151" s="253">
        <v>0</v>
      </c>
      <c r="J151" s="253">
        <v>0</v>
      </c>
      <c r="K151" s="253">
        <v>0</v>
      </c>
      <c r="L151" s="253">
        <v>3.2179308333333334</v>
      </c>
      <c r="M151" s="253">
        <v>7.0209399999999995</v>
      </c>
      <c r="N151" s="253">
        <v>7.0209399999999995</v>
      </c>
    </row>
    <row r="152" spans="2:14" x14ac:dyDescent="0.3">
      <c r="B152" s="7"/>
      <c r="C152" s="4" t="s">
        <v>401</v>
      </c>
      <c r="D152" s="6" t="s">
        <v>322</v>
      </c>
      <c r="E152" s="6" t="s">
        <v>56</v>
      </c>
      <c r="F152" s="253">
        <v>0</v>
      </c>
      <c r="G152" s="253">
        <v>0</v>
      </c>
      <c r="H152" s="253">
        <v>0</v>
      </c>
      <c r="I152" s="253">
        <v>0</v>
      </c>
      <c r="J152" s="253">
        <v>0</v>
      </c>
      <c r="K152" s="253">
        <v>0</v>
      </c>
      <c r="L152" s="253">
        <v>33.033679285714285</v>
      </c>
      <c r="M152" s="253">
        <v>66.067358571428571</v>
      </c>
      <c r="N152" s="253">
        <v>66.067358571428571</v>
      </c>
    </row>
    <row r="153" spans="2:14" x14ac:dyDescent="0.3">
      <c r="B153" s="7"/>
      <c r="C153" s="4" t="s">
        <v>402</v>
      </c>
      <c r="D153" s="6" t="s">
        <v>322</v>
      </c>
      <c r="E153" s="6" t="s">
        <v>56</v>
      </c>
      <c r="F153" s="253">
        <v>0</v>
      </c>
      <c r="G153" s="253">
        <v>0</v>
      </c>
      <c r="H153" s="253">
        <v>0</v>
      </c>
      <c r="I153" s="253">
        <v>0</v>
      </c>
      <c r="J153" s="253">
        <v>0</v>
      </c>
      <c r="K153" s="253">
        <v>0</v>
      </c>
      <c r="L153" s="253">
        <v>41.210571428571427</v>
      </c>
      <c r="M153" s="253">
        <v>82.421142857142854</v>
      </c>
      <c r="N153" s="253">
        <v>82.421142857142854</v>
      </c>
    </row>
    <row r="154" spans="2:14" x14ac:dyDescent="0.3">
      <c r="B154" s="7"/>
      <c r="C154" s="4" t="s">
        <v>403</v>
      </c>
      <c r="D154" s="6" t="s">
        <v>322</v>
      </c>
      <c r="E154" s="6" t="s">
        <v>56</v>
      </c>
      <c r="F154" s="253">
        <v>0</v>
      </c>
      <c r="G154" s="253">
        <v>0</v>
      </c>
      <c r="H154" s="253">
        <v>0</v>
      </c>
      <c r="I154" s="253">
        <v>0</v>
      </c>
      <c r="J154" s="253">
        <v>0</v>
      </c>
      <c r="K154" s="253">
        <v>0</v>
      </c>
      <c r="L154" s="253">
        <v>25.318737857142857</v>
      </c>
      <c r="M154" s="253">
        <v>50.637475714285713</v>
      </c>
      <c r="N154" s="253">
        <v>50.637475714285713</v>
      </c>
    </row>
    <row r="155" spans="2:14" x14ac:dyDescent="0.3">
      <c r="B155" s="7"/>
      <c r="C155" s="4" t="s">
        <v>404</v>
      </c>
      <c r="D155" s="6" t="s">
        <v>322</v>
      </c>
      <c r="E155" s="6" t="s">
        <v>56</v>
      </c>
      <c r="F155" s="253">
        <v>0</v>
      </c>
      <c r="G155" s="253">
        <v>0</v>
      </c>
      <c r="H155" s="253">
        <v>0</v>
      </c>
      <c r="I155" s="253">
        <v>0</v>
      </c>
      <c r="J155" s="253">
        <v>0</v>
      </c>
      <c r="K155" s="253">
        <v>0</v>
      </c>
      <c r="L155" s="253">
        <v>1.1701566666666665</v>
      </c>
      <c r="M155" s="253">
        <v>2.340313333333333</v>
      </c>
      <c r="N155" s="253">
        <v>2.340313333333333</v>
      </c>
    </row>
    <row r="156" spans="2:14" x14ac:dyDescent="0.3">
      <c r="B156" s="7"/>
      <c r="C156" s="4" t="s">
        <v>405</v>
      </c>
      <c r="D156" s="6" t="s">
        <v>322</v>
      </c>
      <c r="E156" s="6" t="s">
        <v>56</v>
      </c>
      <c r="F156" s="253">
        <v>0</v>
      </c>
      <c r="G156" s="253">
        <v>0</v>
      </c>
      <c r="H156" s="253">
        <v>0</v>
      </c>
      <c r="I156" s="253">
        <v>0</v>
      </c>
      <c r="J156" s="253">
        <v>0</v>
      </c>
      <c r="K156" s="253">
        <v>0</v>
      </c>
      <c r="L156" s="253">
        <v>0</v>
      </c>
      <c r="M156" s="253">
        <v>38.808373571428568</v>
      </c>
      <c r="N156" s="253">
        <v>77.616747142857136</v>
      </c>
    </row>
    <row r="157" spans="2:14" x14ac:dyDescent="0.3">
      <c r="B157" s="7"/>
      <c r="C157" s="4" t="s">
        <v>406</v>
      </c>
      <c r="D157" s="6" t="s">
        <v>322</v>
      </c>
      <c r="E157" s="6" t="s">
        <v>56</v>
      </c>
      <c r="F157" s="253">
        <v>0</v>
      </c>
      <c r="G157" s="253">
        <v>0</v>
      </c>
      <c r="H157" s="253">
        <v>0</v>
      </c>
      <c r="I157" s="253">
        <v>0</v>
      </c>
      <c r="J157" s="253">
        <v>0</v>
      </c>
      <c r="K157" s="253">
        <v>0</v>
      </c>
      <c r="L157" s="253">
        <v>0</v>
      </c>
      <c r="M157" s="253">
        <v>1.4285714285714284</v>
      </c>
      <c r="N157" s="253">
        <v>5.7142857142857135</v>
      </c>
    </row>
    <row r="158" spans="2:14" x14ac:dyDescent="0.3">
      <c r="B158" s="7"/>
      <c r="C158" s="4" t="s">
        <v>407</v>
      </c>
      <c r="D158" s="6" t="s">
        <v>322</v>
      </c>
      <c r="E158" s="6" t="s">
        <v>56</v>
      </c>
      <c r="F158" s="253">
        <v>0</v>
      </c>
      <c r="G158" s="253">
        <v>0</v>
      </c>
      <c r="H158" s="253">
        <v>0</v>
      </c>
      <c r="I158" s="253">
        <v>0</v>
      </c>
      <c r="J158" s="253">
        <v>0</v>
      </c>
      <c r="K158" s="253">
        <v>0</v>
      </c>
      <c r="L158" s="253">
        <v>0</v>
      </c>
      <c r="M158" s="253">
        <v>0</v>
      </c>
      <c r="N158" s="253">
        <v>236.82151472222222</v>
      </c>
    </row>
    <row r="159" spans="2:14" x14ac:dyDescent="0.3">
      <c r="B159" s="7"/>
      <c r="C159" s="4" t="s">
        <v>377</v>
      </c>
      <c r="D159" s="6" t="s">
        <v>322</v>
      </c>
      <c r="E159" s="6" t="s">
        <v>56</v>
      </c>
      <c r="F159" s="253">
        <v>34.432160833333334</v>
      </c>
      <c r="G159" s="253">
        <v>82.637186</v>
      </c>
      <c r="H159" s="253">
        <v>82.637186</v>
      </c>
      <c r="I159" s="253">
        <v>82.637186</v>
      </c>
      <c r="J159" s="253">
        <v>82.637186</v>
      </c>
      <c r="K159" s="253">
        <v>82.637186</v>
      </c>
      <c r="L159" s="253">
        <v>82.637186</v>
      </c>
      <c r="M159" s="253">
        <v>82.637186</v>
      </c>
      <c r="N159" s="253">
        <v>82.637186</v>
      </c>
    </row>
    <row r="160" spans="2:14" x14ac:dyDescent="0.3">
      <c r="B160" s="7"/>
      <c r="C160" s="4" t="s">
        <v>326</v>
      </c>
      <c r="D160" s="6" t="s">
        <v>322</v>
      </c>
      <c r="E160" s="6" t="s">
        <v>56</v>
      </c>
      <c r="F160" s="253">
        <v>0</v>
      </c>
      <c r="G160" s="253">
        <v>0.82857857142857139</v>
      </c>
      <c r="H160" s="253">
        <v>0.82857857142857139</v>
      </c>
      <c r="I160" s="253">
        <v>0.82857857142857139</v>
      </c>
      <c r="J160" s="253">
        <v>0.82857857142857139</v>
      </c>
      <c r="K160" s="253">
        <v>0.82857857142857139</v>
      </c>
      <c r="L160" s="253">
        <v>0.82857857142857139</v>
      </c>
      <c r="M160" s="253">
        <v>0.82857857142857139</v>
      </c>
      <c r="N160" s="253">
        <v>0</v>
      </c>
    </row>
    <row r="161" spans="2:14" x14ac:dyDescent="0.3">
      <c r="B161" s="7"/>
      <c r="C161" s="4" t="s">
        <v>451</v>
      </c>
      <c r="D161" s="6" t="s">
        <v>322</v>
      </c>
      <c r="E161" s="6" t="s">
        <v>56</v>
      </c>
      <c r="F161" s="253">
        <v>0</v>
      </c>
      <c r="G161" s="253">
        <v>4.5663100000000005</v>
      </c>
      <c r="H161" s="253">
        <v>7.82796</v>
      </c>
      <c r="I161" s="253">
        <v>7.82796</v>
      </c>
      <c r="J161" s="253">
        <v>7.82796</v>
      </c>
      <c r="K161" s="253">
        <v>7.82796</v>
      </c>
      <c r="L161" s="253">
        <v>7.82796</v>
      </c>
      <c r="M161" s="253">
        <v>7.82796</v>
      </c>
      <c r="N161" s="253">
        <v>3.2616500000000079</v>
      </c>
    </row>
    <row r="162" spans="2:14" x14ac:dyDescent="0.3">
      <c r="B162" s="7"/>
      <c r="C162" s="4" t="s">
        <v>452</v>
      </c>
      <c r="D162" s="6" t="s">
        <v>322</v>
      </c>
      <c r="E162" s="6" t="s">
        <v>56</v>
      </c>
      <c r="F162" s="253">
        <v>0</v>
      </c>
      <c r="G162" s="253">
        <v>0</v>
      </c>
      <c r="H162" s="253">
        <v>21.957661785714286</v>
      </c>
      <c r="I162" s="253">
        <v>0</v>
      </c>
      <c r="J162" s="253">
        <v>0</v>
      </c>
      <c r="K162" s="253">
        <v>0</v>
      </c>
      <c r="L162" s="253">
        <v>0</v>
      </c>
      <c r="M162" s="253">
        <v>0</v>
      </c>
      <c r="N162" s="253">
        <v>0</v>
      </c>
    </row>
    <row r="163" spans="2:14" x14ac:dyDescent="0.3">
      <c r="B163" s="7"/>
      <c r="C163" s="4" t="s">
        <v>402</v>
      </c>
      <c r="D163" s="6" t="s">
        <v>322</v>
      </c>
      <c r="E163" s="6" t="s">
        <v>56</v>
      </c>
      <c r="F163" s="253">
        <v>0</v>
      </c>
      <c r="G163" s="253">
        <v>0</v>
      </c>
      <c r="H163" s="253">
        <v>0</v>
      </c>
      <c r="I163" s="253">
        <v>27.134766666666664</v>
      </c>
      <c r="J163" s="253">
        <v>81.404299999999992</v>
      </c>
      <c r="K163" s="253">
        <v>81.404299999999992</v>
      </c>
      <c r="L163" s="253">
        <v>81.404299999999992</v>
      </c>
      <c r="M163" s="253">
        <v>81.404299999999992</v>
      </c>
      <c r="N163" s="253">
        <v>81.404299999999992</v>
      </c>
    </row>
    <row r="164" spans="2:14" x14ac:dyDescent="0.3">
      <c r="B164" s="7"/>
      <c r="C164" s="4" t="s">
        <v>453</v>
      </c>
      <c r="D164" s="6" t="s">
        <v>322</v>
      </c>
      <c r="E164" s="6" t="s">
        <v>56</v>
      </c>
      <c r="F164" s="253">
        <v>0</v>
      </c>
      <c r="G164" s="253">
        <v>0</v>
      </c>
      <c r="H164" s="253">
        <v>0</v>
      </c>
      <c r="I164" s="253">
        <v>0</v>
      </c>
      <c r="J164" s="253">
        <v>0</v>
      </c>
      <c r="K164" s="253">
        <v>0</v>
      </c>
      <c r="L164" s="253">
        <v>31.536495714285714</v>
      </c>
      <c r="M164" s="253">
        <v>31.536495714285714</v>
      </c>
      <c r="N164" s="253">
        <v>31.536495714285714</v>
      </c>
    </row>
    <row r="165" spans="2:14" x14ac:dyDescent="0.3">
      <c r="B165" s="7"/>
      <c r="C165" s="4" t="s">
        <v>454</v>
      </c>
      <c r="D165" s="6" t="s">
        <v>322</v>
      </c>
      <c r="E165" s="6" t="s">
        <v>56</v>
      </c>
      <c r="F165" s="253">
        <v>0</v>
      </c>
      <c r="G165" s="253">
        <v>0</v>
      </c>
      <c r="H165" s="253">
        <v>0</v>
      </c>
      <c r="I165" s="253">
        <v>0</v>
      </c>
      <c r="J165" s="253">
        <v>0</v>
      </c>
      <c r="K165" s="253">
        <v>5.9618423333333341</v>
      </c>
      <c r="L165" s="253">
        <v>10.993152</v>
      </c>
      <c r="M165" s="253">
        <v>10.993152</v>
      </c>
      <c r="N165" s="253">
        <v>10.993152</v>
      </c>
    </row>
    <row r="166" spans="2:14" x14ac:dyDescent="0.3">
      <c r="B166" s="7"/>
      <c r="C166" s="4" t="s">
        <v>455</v>
      </c>
      <c r="D166" s="6" t="s">
        <v>322</v>
      </c>
      <c r="E166" s="6" t="s">
        <v>56</v>
      </c>
      <c r="F166" s="253">
        <v>0</v>
      </c>
      <c r="G166" s="253">
        <v>0</v>
      </c>
      <c r="H166" s="253">
        <v>0</v>
      </c>
      <c r="I166" s="253">
        <v>0</v>
      </c>
      <c r="J166" s="253">
        <v>0</v>
      </c>
      <c r="K166" s="253">
        <v>1.4499787500000001</v>
      </c>
      <c r="L166" s="253">
        <v>12.229622500000001</v>
      </c>
      <c r="M166" s="253">
        <v>12.229622500000001</v>
      </c>
      <c r="N166" s="253">
        <v>12.229622500000001</v>
      </c>
    </row>
    <row r="167" spans="2:14" x14ac:dyDescent="0.3">
      <c r="B167" s="7"/>
      <c r="C167" s="4" t="s">
        <v>456</v>
      </c>
      <c r="D167" s="6" t="s">
        <v>322</v>
      </c>
      <c r="E167" s="6" t="s">
        <v>56</v>
      </c>
      <c r="F167" s="253">
        <v>0</v>
      </c>
      <c r="G167" s="253">
        <v>0</v>
      </c>
      <c r="H167" s="253">
        <v>0</v>
      </c>
      <c r="I167" s="253">
        <v>0</v>
      </c>
      <c r="J167" s="253">
        <v>0</v>
      </c>
      <c r="K167" s="253">
        <v>0</v>
      </c>
      <c r="L167" s="253">
        <v>0.57038805555555561</v>
      </c>
      <c r="M167" s="253">
        <v>1.3689313333333335</v>
      </c>
      <c r="N167" s="253">
        <v>1.3689313333333335</v>
      </c>
    </row>
    <row r="168" spans="2:14" x14ac:dyDescent="0.3">
      <c r="B168" s="7"/>
      <c r="C168" s="4" t="s">
        <v>457</v>
      </c>
      <c r="D168" s="6" t="s">
        <v>322</v>
      </c>
      <c r="E168" s="6" t="s">
        <v>56</v>
      </c>
      <c r="F168" s="253">
        <v>0</v>
      </c>
      <c r="G168" s="253">
        <v>0</v>
      </c>
      <c r="H168" s="253">
        <v>0</v>
      </c>
      <c r="I168" s="253">
        <v>0</v>
      </c>
      <c r="J168" s="253">
        <v>0</v>
      </c>
      <c r="K168" s="253">
        <v>0</v>
      </c>
      <c r="L168" s="253">
        <v>23.1351455</v>
      </c>
      <c r="M168" s="253">
        <v>46.270291</v>
      </c>
      <c r="N168" s="253">
        <v>46.270291</v>
      </c>
    </row>
    <row r="169" spans="2:14" x14ac:dyDescent="0.3">
      <c r="B169" s="7"/>
      <c r="C169" s="4" t="s">
        <v>458</v>
      </c>
      <c r="D169" s="6" t="s">
        <v>322</v>
      </c>
      <c r="E169" s="6" t="s">
        <v>56</v>
      </c>
      <c r="F169" s="253">
        <v>0</v>
      </c>
      <c r="G169" s="253">
        <v>0</v>
      </c>
      <c r="H169" s="253">
        <v>0</v>
      </c>
      <c r="I169" s="253">
        <v>0</v>
      </c>
      <c r="J169" s="253">
        <v>0</v>
      </c>
      <c r="K169" s="253">
        <v>0</v>
      </c>
      <c r="L169" s="253">
        <v>0</v>
      </c>
      <c r="M169" s="253">
        <v>0</v>
      </c>
      <c r="N169" s="253">
        <v>3.8214285714285712</v>
      </c>
    </row>
    <row r="170" spans="2:14" x14ac:dyDescent="0.3">
      <c r="B170" s="7"/>
      <c r="C170" s="4" t="s">
        <v>459</v>
      </c>
      <c r="D170" s="6" t="s">
        <v>322</v>
      </c>
      <c r="E170" s="6" t="s">
        <v>56</v>
      </c>
      <c r="F170" s="253">
        <v>0</v>
      </c>
      <c r="G170" s="253">
        <v>0</v>
      </c>
      <c r="H170" s="253">
        <v>0</v>
      </c>
      <c r="I170" s="253">
        <v>0</v>
      </c>
      <c r="J170" s="253">
        <v>0</v>
      </c>
      <c r="K170" s="253">
        <v>0</v>
      </c>
      <c r="L170" s="253">
        <v>0</v>
      </c>
      <c r="M170" s="253">
        <v>0</v>
      </c>
      <c r="N170" s="253">
        <v>32.501677666666666</v>
      </c>
    </row>
    <row r="171" spans="2:14" x14ac:dyDescent="0.3">
      <c r="B171" s="7"/>
      <c r="C171" s="4" t="s">
        <v>460</v>
      </c>
      <c r="D171" s="6" t="s">
        <v>322</v>
      </c>
      <c r="E171" s="6" t="s">
        <v>56</v>
      </c>
      <c r="F171" s="253">
        <v>0</v>
      </c>
      <c r="G171" s="253">
        <v>0</v>
      </c>
      <c r="H171" s="253">
        <v>0</v>
      </c>
      <c r="I171" s="253">
        <v>0</v>
      </c>
      <c r="J171" s="253">
        <v>0</v>
      </c>
      <c r="K171" s="253">
        <v>0</v>
      </c>
      <c r="L171" s="253">
        <v>0</v>
      </c>
      <c r="M171" s="253">
        <v>0</v>
      </c>
      <c r="N171" s="253">
        <v>13.434681666666666</v>
      </c>
    </row>
    <row r="172" spans="2:14" x14ac:dyDescent="0.3">
      <c r="B172" s="7"/>
      <c r="C172" s="4" t="s">
        <v>461</v>
      </c>
      <c r="D172" s="6" t="s">
        <v>322</v>
      </c>
      <c r="E172" s="6" t="s">
        <v>56</v>
      </c>
      <c r="F172" s="253">
        <v>0</v>
      </c>
      <c r="G172" s="253">
        <v>0</v>
      </c>
      <c r="H172" s="253">
        <v>0</v>
      </c>
      <c r="I172" s="253">
        <v>0</v>
      </c>
      <c r="J172" s="253">
        <v>0</v>
      </c>
      <c r="K172" s="253">
        <v>0</v>
      </c>
      <c r="L172" s="253">
        <v>0</v>
      </c>
      <c r="M172" s="253">
        <v>0</v>
      </c>
      <c r="N172" s="253">
        <v>2.8178266666666665</v>
      </c>
    </row>
    <row r="173" spans="2:14" x14ac:dyDescent="0.3">
      <c r="B173" s="7"/>
      <c r="C173" s="4" t="s">
        <v>462</v>
      </c>
      <c r="D173" s="6" t="s">
        <v>322</v>
      </c>
      <c r="E173" s="6" t="s">
        <v>56</v>
      </c>
      <c r="F173" s="253">
        <v>0.39988888888888879</v>
      </c>
      <c r="G173" s="253">
        <v>15.252918228300379</v>
      </c>
      <c r="H173" s="253">
        <v>261.93128888881046</v>
      </c>
      <c r="I173" s="253">
        <v>1081.2897947221441</v>
      </c>
      <c r="J173" s="253">
        <v>1153.6011292449859</v>
      </c>
      <c r="K173" s="253">
        <v>1105.3124543901351</v>
      </c>
      <c r="L173" s="253">
        <v>360.1420841389928</v>
      </c>
      <c r="M173" s="253">
        <v>381.30978638888894</v>
      </c>
      <c r="N173" s="253">
        <v>188.92087138888891</v>
      </c>
    </row>
    <row r="174" spans="2:14" x14ac:dyDescent="0.3">
      <c r="B174" s="4"/>
      <c r="C174" s="4"/>
      <c r="D174" s="4"/>
      <c r="E174" s="4"/>
      <c r="F174" s="8"/>
      <c r="G174" s="205"/>
      <c r="H174" s="205"/>
      <c r="I174" s="205"/>
      <c r="J174" s="205"/>
      <c r="K174" s="205"/>
      <c r="L174" s="205"/>
      <c r="M174" s="205"/>
      <c r="N174" s="205"/>
    </row>
    <row r="175" spans="2:14" x14ac:dyDescent="0.3">
      <c r="B175" s="7"/>
      <c r="C175" s="229" t="s">
        <v>463</v>
      </c>
      <c r="D175" s="257" t="s">
        <v>322</v>
      </c>
      <c r="E175" s="257" t="s">
        <v>56</v>
      </c>
      <c r="F175" s="259">
        <f t="shared" ref="F175:N175" si="1">+SUM(F13:F173)</f>
        <v>186.40027104041835</v>
      </c>
      <c r="G175" s="259">
        <f t="shared" si="1"/>
        <v>1131.4379413348636</v>
      </c>
      <c r="H175" s="259">
        <f t="shared" si="1"/>
        <v>2784.1978460327741</v>
      </c>
      <c r="I175" s="259">
        <f t="shared" si="1"/>
        <v>4914.0692059135454</v>
      </c>
      <c r="J175" s="259">
        <f t="shared" si="1"/>
        <v>9852.4120856762765</v>
      </c>
      <c r="K175" s="259">
        <f t="shared" si="1"/>
        <v>17898.803972139362</v>
      </c>
      <c r="L175" s="259">
        <f t="shared" si="1"/>
        <v>26719.131726990629</v>
      </c>
      <c r="M175" s="259">
        <f t="shared" si="1"/>
        <v>27108.827933706329</v>
      </c>
      <c r="N175" s="259">
        <f t="shared" si="1"/>
        <v>26345.999397854659</v>
      </c>
    </row>
    <row r="177" spans="3:14" x14ac:dyDescent="0.3">
      <c r="C177" s="411" t="s">
        <v>579</v>
      </c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D1CE-234F-4F04-91A8-2D8786377BFE}">
  <dimension ref="B1:AA257"/>
  <sheetViews>
    <sheetView showGridLines="0" zoomScaleNormal="100" workbookViewId="0">
      <pane xSplit="5" ySplit="2" topLeftCell="F221" activePane="bottomRight" state="frozen"/>
      <selection pane="topRight" activeCell="F1" sqref="F1"/>
      <selection pane="bottomLeft" activeCell="A3" sqref="A3"/>
      <selection pane="bottomRight" activeCell="C70" sqref="C70"/>
    </sheetView>
  </sheetViews>
  <sheetFormatPr defaultColWidth="11.33203125" defaultRowHeight="12.5" x14ac:dyDescent="0.25"/>
  <cols>
    <col min="1" max="1" width="3.5" style="4" customWidth="1"/>
    <col min="2" max="2" width="2.25" style="4" customWidth="1"/>
    <col min="3" max="3" width="47.75" style="4" customWidth="1"/>
    <col min="4" max="4" width="7.75" style="6" bestFit="1" customWidth="1"/>
    <col min="5" max="5" width="18.5" style="6" bestFit="1" customWidth="1"/>
    <col min="6" max="6" width="3.08203125" style="4" customWidth="1"/>
    <col min="7" max="15" width="12" style="4" customWidth="1"/>
    <col min="16" max="16384" width="11.33203125" style="4"/>
  </cols>
  <sheetData>
    <row r="1" spans="2:23" ht="13" x14ac:dyDescent="0.3">
      <c r="D1" s="158" t="s">
        <v>2</v>
      </c>
      <c r="E1" s="158" t="s">
        <v>1</v>
      </c>
      <c r="G1" s="158">
        <v>2011</v>
      </c>
      <c r="H1" s="158">
        <v>2012</v>
      </c>
      <c r="I1" s="158">
        <v>2013</v>
      </c>
      <c r="J1" s="158">
        <v>2014</v>
      </c>
      <c r="K1" s="158">
        <v>2015</v>
      </c>
      <c r="L1" s="158">
        <v>2016</v>
      </c>
      <c r="M1" s="158">
        <v>2017</v>
      </c>
      <c r="N1" s="158">
        <v>2018</v>
      </c>
      <c r="O1" s="158">
        <v>2019</v>
      </c>
    </row>
    <row r="2" spans="2:23" x14ac:dyDescent="0.25">
      <c r="B2" s="16"/>
      <c r="C2" s="16"/>
      <c r="D2" s="73"/>
      <c r="E2" s="73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2:23" ht="13" x14ac:dyDescent="0.3">
      <c r="B4" s="3" t="s">
        <v>55</v>
      </c>
      <c r="C4" s="1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3" s="28" customFormat="1" ht="13" x14ac:dyDescent="0.3">
      <c r="B5" s="57"/>
      <c r="D5" s="74"/>
      <c r="E5" s="74"/>
      <c r="F5" s="4"/>
    </row>
    <row r="6" spans="2:23" s="188" customFormat="1" ht="13" x14ac:dyDescent="0.3">
      <c r="B6" s="184" t="s">
        <v>246</v>
      </c>
      <c r="D6" s="206"/>
      <c r="E6" s="206"/>
    </row>
    <row r="7" spans="2:23" s="188" customFormat="1" x14ac:dyDescent="0.25">
      <c r="C7" s="207" t="s">
        <v>11</v>
      </c>
      <c r="D7" s="206" t="s">
        <v>16</v>
      </c>
      <c r="E7" s="206" t="s">
        <v>17</v>
      </c>
      <c r="F7" s="205"/>
      <c r="G7" s="208">
        <v>9955886.1999999993</v>
      </c>
      <c r="H7" s="208">
        <v>9772710.2200000007</v>
      </c>
      <c r="I7" s="208">
        <v>11466464.76</v>
      </c>
      <c r="J7" s="208">
        <v>9457514.0800000001</v>
      </c>
      <c r="K7" s="208">
        <v>10218990.250000058</v>
      </c>
      <c r="L7" s="209">
        <v>9127049.9600000009</v>
      </c>
      <c r="M7" s="209">
        <v>10687257.85</v>
      </c>
      <c r="N7" s="209">
        <v>12356363.330000011</v>
      </c>
      <c r="O7" s="209">
        <v>12961177.939999998</v>
      </c>
      <c r="W7" s="205"/>
    </row>
    <row r="8" spans="2:23" s="188" customFormat="1" x14ac:dyDescent="0.25">
      <c r="C8" s="207" t="s">
        <v>247</v>
      </c>
      <c r="D8" s="206" t="s">
        <v>16</v>
      </c>
      <c r="E8" s="206" t="s">
        <v>17</v>
      </c>
      <c r="F8" s="205"/>
      <c r="G8" s="208">
        <v>5067641.28</v>
      </c>
      <c r="H8" s="208">
        <v>5217756.96</v>
      </c>
      <c r="I8" s="208">
        <v>5773505.25</v>
      </c>
      <c r="J8" s="208">
        <v>6216442.7900000494</v>
      </c>
      <c r="K8" s="208">
        <v>10740135.32</v>
      </c>
      <c r="L8" s="209">
        <v>13696882.330000002</v>
      </c>
      <c r="M8" s="209">
        <v>15820461.15</v>
      </c>
      <c r="N8" s="209">
        <v>15811884.550000001</v>
      </c>
      <c r="O8" s="209">
        <v>13458493.27</v>
      </c>
      <c r="Q8" s="228"/>
      <c r="W8" s="205"/>
    </row>
    <row r="9" spans="2:23" s="188" customFormat="1" x14ac:dyDescent="0.25">
      <c r="C9" s="207" t="s">
        <v>248</v>
      </c>
      <c r="D9" s="206" t="s">
        <v>16</v>
      </c>
      <c r="E9" s="206" t="s">
        <v>17</v>
      </c>
      <c r="F9" s="205"/>
      <c r="G9" s="208">
        <v>7855814.6799999997</v>
      </c>
      <c r="H9" s="208">
        <v>7691165.6200000001</v>
      </c>
      <c r="I9" s="208">
        <v>9590356.4600000009</v>
      </c>
      <c r="J9" s="208">
        <v>11475699.669999637</v>
      </c>
      <c r="K9" s="208">
        <v>17631179.620000001</v>
      </c>
      <c r="L9" s="209">
        <v>22302163.580000002</v>
      </c>
      <c r="M9" s="209">
        <v>26438973.129999995</v>
      </c>
      <c r="N9" s="209">
        <v>32970300.339999996</v>
      </c>
      <c r="O9" s="209">
        <v>35879031.589999989</v>
      </c>
      <c r="W9" s="205"/>
    </row>
    <row r="10" spans="2:23" s="188" customFormat="1" x14ac:dyDescent="0.25">
      <c r="C10" s="207" t="s">
        <v>249</v>
      </c>
      <c r="D10" s="206" t="s">
        <v>16</v>
      </c>
      <c r="E10" s="206" t="s">
        <v>17</v>
      </c>
      <c r="F10" s="205"/>
      <c r="G10" s="208">
        <v>1379913.04</v>
      </c>
      <c r="H10" s="208">
        <v>1039498.54</v>
      </c>
      <c r="I10" s="208">
        <v>911343.94</v>
      </c>
      <c r="J10" s="208">
        <v>1165937.6000000001</v>
      </c>
      <c r="K10" s="208">
        <v>1921504.63</v>
      </c>
      <c r="L10" s="209">
        <v>2894228.17</v>
      </c>
      <c r="M10" s="209">
        <v>2817089.9</v>
      </c>
      <c r="N10" s="209">
        <v>3189653.4000000004</v>
      </c>
      <c r="O10" s="209">
        <v>2431665.2000000002</v>
      </c>
      <c r="W10" s="205"/>
    </row>
    <row r="11" spans="2:23" s="188" customFormat="1" x14ac:dyDescent="0.25">
      <c r="C11" s="207" t="s">
        <v>250</v>
      </c>
      <c r="D11" s="206" t="s">
        <v>16</v>
      </c>
      <c r="E11" s="206" t="s">
        <v>17</v>
      </c>
      <c r="F11" s="205"/>
      <c r="G11" s="208">
        <v>3778542.74</v>
      </c>
      <c r="H11" s="208">
        <v>1869317.61</v>
      </c>
      <c r="I11" s="208">
        <v>3562572.03</v>
      </c>
      <c r="J11" s="208">
        <v>3100427.2799999989</v>
      </c>
      <c r="K11" s="208">
        <v>6138579.9800000004</v>
      </c>
      <c r="L11" s="209">
        <v>11443951.689999999</v>
      </c>
      <c r="M11" s="209">
        <v>14656114.509999998</v>
      </c>
      <c r="N11" s="209">
        <v>16934377.739999998</v>
      </c>
      <c r="O11" s="209">
        <v>16318398.800000001</v>
      </c>
      <c r="W11" s="205"/>
    </row>
    <row r="12" spans="2:23" s="188" customFormat="1" x14ac:dyDescent="0.25">
      <c r="C12" s="207" t="s">
        <v>251</v>
      </c>
      <c r="D12" s="206" t="s">
        <v>16</v>
      </c>
      <c r="E12" s="206" t="s">
        <v>17</v>
      </c>
      <c r="F12" s="205"/>
      <c r="G12" s="208">
        <v>292475.59999999998</v>
      </c>
      <c r="H12" s="208">
        <v>614768.37</v>
      </c>
      <c r="I12" s="208">
        <v>324794</v>
      </c>
      <c r="J12" s="208">
        <v>557035.5</v>
      </c>
      <c r="K12" s="208">
        <v>559062.71</v>
      </c>
      <c r="L12" s="209">
        <v>2001954.9000000001</v>
      </c>
      <c r="M12" s="209">
        <v>2242401.84</v>
      </c>
      <c r="N12" s="209">
        <v>2708525.4000000004</v>
      </c>
      <c r="O12" s="209">
        <v>2478118</v>
      </c>
      <c r="W12" s="205"/>
    </row>
    <row r="13" spans="2:23" s="188" customFormat="1" x14ac:dyDescent="0.25">
      <c r="C13" s="207" t="s">
        <v>252</v>
      </c>
      <c r="D13" s="206" t="s">
        <v>16</v>
      </c>
      <c r="E13" s="206" t="s">
        <v>17</v>
      </c>
      <c r="F13" s="205"/>
      <c r="G13" s="208">
        <v>317489.96000000002</v>
      </c>
      <c r="H13" s="208">
        <v>550794.99</v>
      </c>
      <c r="I13" s="208">
        <v>568616.52</v>
      </c>
      <c r="J13" s="208">
        <v>996428.90000000084</v>
      </c>
      <c r="K13" s="208">
        <v>521145.49999999994</v>
      </c>
      <c r="L13" s="209">
        <v>2323655.1199999996</v>
      </c>
      <c r="M13" s="209">
        <v>4170685.02</v>
      </c>
      <c r="N13" s="209">
        <v>4182034</v>
      </c>
      <c r="O13" s="209">
        <v>4019550.8</v>
      </c>
      <c r="W13" s="205"/>
    </row>
    <row r="14" spans="2:23" s="188" customFormat="1" x14ac:dyDescent="0.25">
      <c r="C14" s="207" t="s">
        <v>253</v>
      </c>
      <c r="D14" s="206" t="s">
        <v>16</v>
      </c>
      <c r="E14" s="206" t="s">
        <v>17</v>
      </c>
      <c r="F14" s="205"/>
      <c r="G14" s="208">
        <v>174963.08</v>
      </c>
      <c r="H14" s="208">
        <v>115269.07</v>
      </c>
      <c r="I14" s="208">
        <v>36898.559999999998</v>
      </c>
      <c r="J14" s="208">
        <v>5058.4000000000005</v>
      </c>
      <c r="K14" s="208">
        <v>41704.589999999997</v>
      </c>
      <c r="L14" s="209">
        <v>196233.81999999998</v>
      </c>
      <c r="M14" s="209">
        <v>206716.79999999999</v>
      </c>
      <c r="N14" s="209">
        <v>106058</v>
      </c>
      <c r="O14" s="209">
        <v>114170</v>
      </c>
      <c r="W14" s="205"/>
    </row>
    <row r="15" spans="2:23" s="188" customFormat="1" x14ac:dyDescent="0.25">
      <c r="C15" s="207" t="s">
        <v>254</v>
      </c>
      <c r="D15" s="206" t="s">
        <v>16</v>
      </c>
      <c r="E15" s="206" t="s">
        <v>17</v>
      </c>
      <c r="F15" s="205"/>
      <c r="G15" s="208">
        <v>1041325.8</v>
      </c>
      <c r="H15" s="208">
        <v>519745.27</v>
      </c>
      <c r="I15" s="208">
        <v>174917.27</v>
      </c>
      <c r="J15" s="208">
        <v>107706.49999999999</v>
      </c>
      <c r="K15" s="208">
        <v>280869.74</v>
      </c>
      <c r="L15" s="209">
        <v>2130299.4500000002</v>
      </c>
      <c r="M15" s="209">
        <v>1675109.8599999999</v>
      </c>
      <c r="N15" s="209">
        <v>1454267</v>
      </c>
      <c r="O15" s="209">
        <v>592614</v>
      </c>
      <c r="W15" s="205"/>
    </row>
    <row r="16" spans="2:23" s="188" customFormat="1" x14ac:dyDescent="0.25">
      <c r="C16" s="207" t="s">
        <v>255</v>
      </c>
      <c r="D16" s="206" t="s">
        <v>16</v>
      </c>
      <c r="E16" s="206" t="s">
        <v>17</v>
      </c>
      <c r="F16" s="205"/>
      <c r="G16" s="208">
        <v>2618905.52</v>
      </c>
      <c r="H16" s="208">
        <v>1713316.15</v>
      </c>
      <c r="I16" s="208">
        <v>2180819.17</v>
      </c>
      <c r="J16" s="208">
        <v>1988024.2899999821</v>
      </c>
      <c r="K16" s="208">
        <v>607561.09</v>
      </c>
      <c r="L16" s="209">
        <v>248199.52000000002</v>
      </c>
      <c r="M16" s="209">
        <v>138353.76</v>
      </c>
      <c r="N16" s="209">
        <v>105309.67000000003</v>
      </c>
      <c r="O16" s="209">
        <v>45495</v>
      </c>
      <c r="W16" s="205"/>
    </row>
    <row r="17" spans="3:23" s="188" customFormat="1" x14ac:dyDescent="0.25">
      <c r="C17" s="207" t="s">
        <v>256</v>
      </c>
      <c r="D17" s="206" t="s">
        <v>16</v>
      </c>
      <c r="E17" s="206" t="s">
        <v>17</v>
      </c>
      <c r="F17" s="205"/>
      <c r="G17" s="208">
        <v>4007408.68</v>
      </c>
      <c r="H17" s="208">
        <v>2615752.48</v>
      </c>
      <c r="I17" s="208">
        <v>4579375.03</v>
      </c>
      <c r="J17" s="208">
        <v>3185117.0600000508</v>
      </c>
      <c r="K17" s="208">
        <v>857177.75</v>
      </c>
      <c r="L17" s="209">
        <v>317771.67</v>
      </c>
      <c r="M17" s="209">
        <v>191257.3</v>
      </c>
      <c r="N17" s="209">
        <v>192170.17000000027</v>
      </c>
      <c r="O17" s="209">
        <v>77167</v>
      </c>
      <c r="W17" s="205"/>
    </row>
    <row r="18" spans="3:23" s="188" customFormat="1" x14ac:dyDescent="0.25">
      <c r="C18" s="207" t="s">
        <v>257</v>
      </c>
      <c r="D18" s="206" t="s">
        <v>16</v>
      </c>
      <c r="E18" s="206" t="s">
        <v>17</v>
      </c>
      <c r="F18" s="205"/>
      <c r="G18" s="208">
        <v>723423.54</v>
      </c>
      <c r="H18" s="208">
        <v>422286.54</v>
      </c>
      <c r="I18" s="208">
        <v>494804.68</v>
      </c>
      <c r="J18" s="208">
        <v>692711.18999999983</v>
      </c>
      <c r="K18" s="208">
        <v>431671.53</v>
      </c>
      <c r="L18" s="208">
        <v>194544.06999999998</v>
      </c>
      <c r="M18" s="208">
        <v>14146.369999999999</v>
      </c>
      <c r="N18" s="208">
        <v>7940.45</v>
      </c>
      <c r="O18" s="208">
        <v>6215</v>
      </c>
      <c r="W18" s="205"/>
    </row>
    <row r="19" spans="3:23" s="188" customFormat="1" x14ac:dyDescent="0.25">
      <c r="C19" s="207" t="s">
        <v>258</v>
      </c>
      <c r="D19" s="206" t="s">
        <v>16</v>
      </c>
      <c r="E19" s="206" t="s">
        <v>17</v>
      </c>
      <c r="F19" s="205"/>
      <c r="G19" s="208">
        <v>1198163.78</v>
      </c>
      <c r="H19" s="208">
        <v>558505.5</v>
      </c>
      <c r="I19" s="208">
        <v>1136467.7</v>
      </c>
      <c r="J19" s="208">
        <v>1095290.78</v>
      </c>
      <c r="K19" s="208">
        <v>601896.06999999995</v>
      </c>
      <c r="L19" s="208">
        <v>294399.52999999997</v>
      </c>
      <c r="M19" s="208">
        <v>82812.94</v>
      </c>
      <c r="N19" s="208">
        <v>9383.7999999999993</v>
      </c>
      <c r="O19" s="208">
        <v>5339</v>
      </c>
      <c r="W19" s="205"/>
    </row>
    <row r="20" spans="3:23" s="188" customFormat="1" x14ac:dyDescent="0.25">
      <c r="C20" s="207" t="s">
        <v>259</v>
      </c>
      <c r="D20" s="206" t="s">
        <v>16</v>
      </c>
      <c r="E20" s="206" t="s">
        <v>17</v>
      </c>
      <c r="F20" s="205"/>
      <c r="G20" s="208">
        <v>103287.32</v>
      </c>
      <c r="H20" s="208">
        <v>268907.17</v>
      </c>
      <c r="I20" s="208">
        <v>156884.01</v>
      </c>
      <c r="J20" s="208">
        <v>452036.74999999983</v>
      </c>
      <c r="K20" s="208">
        <v>186601.67</v>
      </c>
      <c r="L20" s="208">
        <v>18364.300000000003</v>
      </c>
      <c r="M20" s="208">
        <v>1759.69</v>
      </c>
      <c r="N20" s="208">
        <v>415</v>
      </c>
      <c r="O20" s="208">
        <v>415</v>
      </c>
      <c r="W20" s="205"/>
    </row>
    <row r="21" spans="3:23" s="188" customFormat="1" x14ac:dyDescent="0.25">
      <c r="C21" s="207" t="s">
        <v>260</v>
      </c>
      <c r="D21" s="206" t="s">
        <v>16</v>
      </c>
      <c r="E21" s="206" t="s">
        <v>17</v>
      </c>
      <c r="F21" s="205"/>
      <c r="G21" s="208">
        <v>97875.56</v>
      </c>
      <c r="H21" s="208">
        <v>254914.03</v>
      </c>
      <c r="I21" s="208">
        <v>302576.09999999998</v>
      </c>
      <c r="J21" s="208">
        <v>470183.36000000057</v>
      </c>
      <c r="K21" s="208">
        <v>167631.19</v>
      </c>
      <c r="L21" s="208">
        <v>17662.780000000002</v>
      </c>
      <c r="M21" s="208">
        <v>-249.62</v>
      </c>
      <c r="N21" s="208">
        <v>761</v>
      </c>
      <c r="O21" s="208">
        <v>1000</v>
      </c>
      <c r="W21" s="205"/>
    </row>
    <row r="22" spans="3:23" s="188" customFormat="1" x14ac:dyDescent="0.25">
      <c r="C22" s="207" t="s">
        <v>261</v>
      </c>
      <c r="D22" s="206" t="s">
        <v>16</v>
      </c>
      <c r="E22" s="206" t="s">
        <v>17</v>
      </c>
      <c r="F22" s="205"/>
      <c r="G22" s="208">
        <v>51231.34</v>
      </c>
      <c r="H22" s="208">
        <v>52597.599999999999</v>
      </c>
      <c r="I22" s="208">
        <v>4603.09</v>
      </c>
      <c r="J22" s="208">
        <v>1337.26</v>
      </c>
      <c r="K22" s="208">
        <v>170.53</v>
      </c>
      <c r="L22" s="208">
        <v>1461.8200000000002</v>
      </c>
      <c r="M22" s="208">
        <v>636.4</v>
      </c>
      <c r="N22" s="208">
        <v>0</v>
      </c>
      <c r="O22" s="208">
        <v>0</v>
      </c>
      <c r="W22" s="205"/>
    </row>
    <row r="23" spans="3:23" s="188" customFormat="1" x14ac:dyDescent="0.25">
      <c r="C23" s="207" t="s">
        <v>262</v>
      </c>
      <c r="D23" s="206" t="s">
        <v>16</v>
      </c>
      <c r="E23" s="206" t="s">
        <v>17</v>
      </c>
      <c r="F23" s="205"/>
      <c r="G23" s="208">
        <v>263630.03999999998</v>
      </c>
      <c r="H23" s="208">
        <v>139645.85</v>
      </c>
      <c r="I23" s="208">
        <v>79928.83</v>
      </c>
      <c r="J23" s="208">
        <v>11755.32</v>
      </c>
      <c r="K23" s="208">
        <v>17621.810000000001</v>
      </c>
      <c r="L23" s="208">
        <v>15732.550000000001</v>
      </c>
      <c r="M23" s="208">
        <v>0</v>
      </c>
      <c r="N23" s="208">
        <v>0</v>
      </c>
      <c r="O23" s="208">
        <v>0</v>
      </c>
      <c r="W23" s="205"/>
    </row>
    <row r="24" spans="3:23" s="188" customFormat="1" x14ac:dyDescent="0.25">
      <c r="C24" s="207" t="s">
        <v>263</v>
      </c>
      <c r="D24" s="206" t="s">
        <v>16</v>
      </c>
      <c r="E24" s="206" t="s">
        <v>17</v>
      </c>
      <c r="F24" s="205"/>
      <c r="G24" s="208">
        <v>12141117.1</v>
      </c>
      <c r="H24" s="208">
        <v>13230663.440000091</v>
      </c>
      <c r="I24" s="208">
        <v>13855647.560000001</v>
      </c>
      <c r="J24" s="208">
        <v>14371024.390000001</v>
      </c>
      <c r="K24" s="208">
        <v>14643180.876191784</v>
      </c>
      <c r="L24" s="208">
        <v>15055781.540000001</v>
      </c>
      <c r="M24" s="208">
        <v>16077866.959999999</v>
      </c>
      <c r="N24" s="208">
        <v>23811623.341781057</v>
      </c>
      <c r="O24" s="208">
        <v>25219979.427718751</v>
      </c>
      <c r="W24" s="205"/>
    </row>
    <row r="25" spans="3:23" s="188" customFormat="1" x14ac:dyDescent="0.25">
      <c r="C25" s="207" t="s">
        <v>264</v>
      </c>
      <c r="D25" s="206" t="s">
        <v>16</v>
      </c>
      <c r="E25" s="206" t="s">
        <v>17</v>
      </c>
      <c r="F25" s="205"/>
      <c r="G25" s="208">
        <v>9508803.0399999991</v>
      </c>
      <c r="H25" s="208">
        <v>13037006.840000035</v>
      </c>
      <c r="I25" s="208">
        <v>12373864.640000021</v>
      </c>
      <c r="J25" s="208">
        <v>10055372.529999996</v>
      </c>
      <c r="K25" s="208">
        <v>10280033.615707964</v>
      </c>
      <c r="L25" s="208">
        <v>8656113.7899999991</v>
      </c>
      <c r="M25" s="208">
        <v>11105799.639999999</v>
      </c>
      <c r="N25" s="208">
        <v>10798725.720699998</v>
      </c>
      <c r="O25" s="208">
        <v>10948152.855852941</v>
      </c>
      <c r="W25" s="205"/>
    </row>
    <row r="26" spans="3:23" s="188" customFormat="1" x14ac:dyDescent="0.25">
      <c r="C26" s="207" t="s">
        <v>265</v>
      </c>
      <c r="D26" s="206" t="s">
        <v>16</v>
      </c>
      <c r="E26" s="206" t="s">
        <v>17</v>
      </c>
      <c r="F26" s="205"/>
      <c r="G26" s="208">
        <v>24333718.900000028</v>
      </c>
      <c r="H26" s="208">
        <v>22349432.880000014</v>
      </c>
      <c r="I26" s="208">
        <v>24488202.369999994</v>
      </c>
      <c r="J26" s="208">
        <v>21295422.440000013</v>
      </c>
      <c r="K26" s="208">
        <v>17095440.559999991</v>
      </c>
      <c r="L26" s="208">
        <v>20426011.670000002</v>
      </c>
      <c r="M26" s="208">
        <v>26184359.34</v>
      </c>
      <c r="N26" s="208">
        <v>28156363.799999975</v>
      </c>
      <c r="O26" s="208">
        <v>32527246.449999999</v>
      </c>
      <c r="W26" s="205"/>
    </row>
    <row r="27" spans="3:23" s="188" customFormat="1" x14ac:dyDescent="0.25">
      <c r="C27" s="207" t="s">
        <v>266</v>
      </c>
      <c r="D27" s="206" t="s">
        <v>16</v>
      </c>
      <c r="E27" s="206" t="s">
        <v>17</v>
      </c>
      <c r="F27" s="205"/>
      <c r="G27" s="208">
        <v>3055563.3400000026</v>
      </c>
      <c r="H27" s="208">
        <v>3196180.1400000034</v>
      </c>
      <c r="I27" s="208">
        <v>3689661.53</v>
      </c>
      <c r="J27" s="208">
        <v>3095581.5600000024</v>
      </c>
      <c r="K27" s="208">
        <v>3184603.3299999968</v>
      </c>
      <c r="L27" s="208">
        <v>3626481.05</v>
      </c>
      <c r="M27" s="208">
        <v>4050317.4600000004</v>
      </c>
      <c r="N27" s="208">
        <v>4493551.4899999965</v>
      </c>
      <c r="O27" s="208">
        <v>6112010.6999999993</v>
      </c>
      <c r="W27" s="205"/>
    </row>
    <row r="28" spans="3:23" s="188" customFormat="1" x14ac:dyDescent="0.25">
      <c r="C28" s="207" t="s">
        <v>267</v>
      </c>
      <c r="D28" s="206" t="s">
        <v>16</v>
      </c>
      <c r="E28" s="206" t="s">
        <v>17</v>
      </c>
      <c r="F28" s="205"/>
      <c r="G28" s="208">
        <v>68320</v>
      </c>
      <c r="H28" s="208">
        <v>148644.1</v>
      </c>
      <c r="I28" s="208">
        <v>223963.62000000002</v>
      </c>
      <c r="J28" s="208">
        <v>159789.38999999998</v>
      </c>
      <c r="K28" s="208">
        <v>272541.92000000004</v>
      </c>
      <c r="L28" s="208">
        <v>231207.62</v>
      </c>
      <c r="M28" s="208">
        <v>306779.28999999998</v>
      </c>
      <c r="N28" s="208">
        <v>277240.63999999897</v>
      </c>
      <c r="O28" s="208">
        <v>451815.46</v>
      </c>
      <c r="W28" s="205"/>
    </row>
    <row r="29" spans="3:23" s="188" customFormat="1" x14ac:dyDescent="0.25">
      <c r="C29" s="207"/>
      <c r="D29" s="206"/>
      <c r="E29" s="206"/>
      <c r="F29" s="205"/>
      <c r="G29" s="208"/>
      <c r="H29" s="208"/>
      <c r="I29" s="208"/>
      <c r="J29" s="208"/>
      <c r="K29" s="208"/>
      <c r="L29" s="208"/>
      <c r="M29" s="208"/>
      <c r="N29" s="208"/>
      <c r="O29" s="208"/>
      <c r="W29" s="205"/>
    </row>
    <row r="30" spans="3:23" s="188" customFormat="1" x14ac:dyDescent="0.25">
      <c r="C30" s="207" t="s">
        <v>18</v>
      </c>
      <c r="D30" s="206" t="s">
        <v>16</v>
      </c>
      <c r="E30" s="206" t="s">
        <v>17</v>
      </c>
      <c r="F30" s="205"/>
      <c r="G30" s="208">
        <v>1727985.68</v>
      </c>
      <c r="H30" s="208">
        <v>2792764.4499999923</v>
      </c>
      <c r="I30" s="208">
        <v>2095746.5899999738</v>
      </c>
      <c r="J30" s="208">
        <v>3643129.8700000132</v>
      </c>
      <c r="K30" s="208">
        <v>6169090.2400000282</v>
      </c>
      <c r="L30" s="208">
        <v>10020921.519999998</v>
      </c>
      <c r="M30" s="208">
        <v>13564701.929999996</v>
      </c>
      <c r="N30" s="208">
        <v>19067433.770000003</v>
      </c>
      <c r="O30" s="208">
        <v>14425432.709999871</v>
      </c>
      <c r="W30" s="205"/>
    </row>
    <row r="31" spans="3:23" s="188" customFormat="1" x14ac:dyDescent="0.25">
      <c r="C31" s="207" t="s">
        <v>19</v>
      </c>
      <c r="D31" s="206" t="s">
        <v>16</v>
      </c>
      <c r="E31" s="206" t="s">
        <v>17</v>
      </c>
      <c r="F31" s="205"/>
      <c r="G31" s="208">
        <v>851144.1</v>
      </c>
      <c r="H31" s="208">
        <v>700077.86000000022</v>
      </c>
      <c r="I31" s="208">
        <v>180476.69000000003</v>
      </c>
      <c r="J31" s="208">
        <v>479440.2</v>
      </c>
      <c r="K31" s="208">
        <v>1681500.6708543131</v>
      </c>
      <c r="L31" s="208">
        <v>796854.84</v>
      </c>
      <c r="M31" s="208">
        <v>1532650.6</v>
      </c>
      <c r="N31" s="208">
        <v>940451.26879999996</v>
      </c>
      <c r="O31" s="208">
        <v>944324.92228124989</v>
      </c>
      <c r="W31" s="205"/>
    </row>
    <row r="32" spans="3:23" s="188" customFormat="1" x14ac:dyDescent="0.25">
      <c r="C32" s="218" t="s">
        <v>20</v>
      </c>
      <c r="D32" s="206" t="s">
        <v>16</v>
      </c>
      <c r="E32" s="206" t="s">
        <v>17</v>
      </c>
      <c r="F32" s="205"/>
      <c r="G32" s="208">
        <v>348365.57999999996</v>
      </c>
      <c r="H32" s="208">
        <v>1285242.4600000002</v>
      </c>
      <c r="I32" s="208">
        <v>1208632.9900000002</v>
      </c>
      <c r="J32" s="208">
        <v>927475.35999999987</v>
      </c>
      <c r="K32" s="208">
        <v>2102156.8742920076</v>
      </c>
      <c r="L32" s="208">
        <v>767639.02999999991</v>
      </c>
      <c r="M32" s="208">
        <v>935516.37999999989</v>
      </c>
      <c r="N32" s="208">
        <v>1016028.8292999999</v>
      </c>
      <c r="O32" s="208">
        <v>911315.97414705902</v>
      </c>
      <c r="W32" s="205"/>
    </row>
    <row r="33" spans="2:23" s="188" customFormat="1" x14ac:dyDescent="0.25">
      <c r="C33" s="218" t="s">
        <v>21</v>
      </c>
      <c r="D33" s="206" t="s">
        <v>16</v>
      </c>
      <c r="E33" s="206" t="s">
        <v>17</v>
      </c>
      <c r="F33" s="205"/>
      <c r="G33" s="208">
        <v>576500.94000000006</v>
      </c>
      <c r="H33" s="208">
        <v>884530.0399999998</v>
      </c>
      <c r="I33" s="208">
        <v>411200.8</v>
      </c>
      <c r="J33" s="208">
        <v>158271.75</v>
      </c>
      <c r="K33" s="208">
        <v>32665.060000000005</v>
      </c>
      <c r="L33" s="208">
        <v>0</v>
      </c>
      <c r="M33" s="208">
        <v>0</v>
      </c>
      <c r="N33" s="208">
        <v>96.77</v>
      </c>
      <c r="O33" s="208">
        <v>59636.66</v>
      </c>
      <c r="W33" s="205"/>
    </row>
    <row r="34" spans="2:23" s="188" customFormat="1" x14ac:dyDescent="0.25">
      <c r="C34" s="218" t="s">
        <v>22</v>
      </c>
      <c r="D34" s="206" t="s">
        <v>16</v>
      </c>
      <c r="E34" s="206" t="s">
        <v>17</v>
      </c>
      <c r="F34" s="205"/>
      <c r="G34" s="208">
        <v>0</v>
      </c>
      <c r="H34" s="208">
        <v>0</v>
      </c>
      <c r="I34" s="208">
        <v>1548818.61</v>
      </c>
      <c r="J34" s="208">
        <v>1076097.4199999988</v>
      </c>
      <c r="K34" s="208">
        <v>1171716.1599999995</v>
      </c>
      <c r="L34" s="208">
        <v>397566.69</v>
      </c>
      <c r="M34" s="208">
        <v>64230</v>
      </c>
      <c r="N34" s="208">
        <v>-20000</v>
      </c>
      <c r="O34" s="208">
        <v>25000</v>
      </c>
      <c r="P34" s="379"/>
      <c r="Q34" s="216"/>
      <c r="R34" s="216"/>
      <c r="T34" s="220"/>
      <c r="U34" s="220"/>
      <c r="W34" s="205"/>
    </row>
    <row r="35" spans="2:23" s="188" customFormat="1" x14ac:dyDescent="0.25">
      <c r="C35" s="218" t="s">
        <v>23</v>
      </c>
      <c r="D35" s="206" t="s">
        <v>16</v>
      </c>
      <c r="E35" s="206" t="s">
        <v>17</v>
      </c>
      <c r="F35" s="205"/>
      <c r="G35" s="208">
        <v>0</v>
      </c>
      <c r="H35" s="208">
        <v>0</v>
      </c>
      <c r="I35" s="208">
        <v>363084.42373370571</v>
      </c>
      <c r="J35" s="208">
        <v>324854.32109933521</v>
      </c>
      <c r="K35" s="208">
        <v>326202.03295392927</v>
      </c>
      <c r="L35" s="208">
        <v>23746.219999999994</v>
      </c>
      <c r="M35" s="208">
        <v>103114.79000000004</v>
      </c>
      <c r="N35" s="208">
        <v>-8612.6205810397551</v>
      </c>
      <c r="O35" s="208">
        <v>0</v>
      </c>
      <c r="Q35" s="400"/>
      <c r="R35" s="400"/>
      <c r="T35" s="220"/>
      <c r="U35" s="220"/>
      <c r="W35" s="205"/>
    </row>
    <row r="36" spans="2:23" s="188" customFormat="1" x14ac:dyDescent="0.25">
      <c r="C36" s="218" t="s">
        <v>24</v>
      </c>
      <c r="D36" s="206" t="s">
        <v>16</v>
      </c>
      <c r="E36" s="206" t="s">
        <v>17</v>
      </c>
      <c r="F36" s="205"/>
      <c r="G36" s="208">
        <v>0</v>
      </c>
      <c r="H36" s="208">
        <v>0</v>
      </c>
      <c r="I36" s="208">
        <v>341452.81</v>
      </c>
      <c r="J36" s="208">
        <v>598621.79000000015</v>
      </c>
      <c r="K36" s="208">
        <v>723891.85000000044</v>
      </c>
      <c r="L36" s="208">
        <v>783226.06000000017</v>
      </c>
      <c r="M36" s="208">
        <v>494226.50999999995</v>
      </c>
      <c r="N36" s="208">
        <v>470210.52</v>
      </c>
      <c r="O36" s="208">
        <v>427525.25000000006</v>
      </c>
      <c r="P36" s="379"/>
      <c r="Q36" s="216"/>
      <c r="R36" s="216"/>
      <c r="T36" s="220"/>
      <c r="U36" s="220"/>
      <c r="W36" s="205"/>
    </row>
    <row r="37" spans="2:23" s="188" customFormat="1" x14ac:dyDescent="0.25">
      <c r="C37" s="218" t="s">
        <v>268</v>
      </c>
      <c r="D37" s="206" t="s">
        <v>16</v>
      </c>
      <c r="E37" s="206" t="s">
        <v>17</v>
      </c>
      <c r="F37" s="205"/>
      <c r="G37" s="208">
        <v>100862</v>
      </c>
      <c r="H37" s="208">
        <v>179800</v>
      </c>
      <c r="I37" s="208">
        <v>412800</v>
      </c>
      <c r="J37" s="208">
        <v>320394.99</v>
      </c>
      <c r="K37" s="208">
        <v>382550</v>
      </c>
      <c r="L37" s="208">
        <v>380080</v>
      </c>
      <c r="M37" s="208">
        <v>184556.82</v>
      </c>
      <c r="N37" s="208">
        <v>411762.5</v>
      </c>
      <c r="O37" s="208">
        <v>575997</v>
      </c>
      <c r="Q37" s="400"/>
      <c r="R37" s="400"/>
      <c r="T37" s="220"/>
      <c r="W37" s="205"/>
    </row>
    <row r="38" spans="2:23" s="188" customFormat="1" x14ac:dyDescent="0.25">
      <c r="C38" s="207" t="s">
        <v>269</v>
      </c>
      <c r="D38" s="206" t="s">
        <v>16</v>
      </c>
      <c r="E38" s="206" t="s">
        <v>17</v>
      </c>
      <c r="F38" s="205"/>
      <c r="G38" s="208">
        <v>0</v>
      </c>
      <c r="H38" s="208">
        <v>0</v>
      </c>
      <c r="I38" s="208">
        <v>398853.17999999993</v>
      </c>
      <c r="J38" s="208">
        <v>420189.99</v>
      </c>
      <c r="K38" s="208">
        <v>1449290.85</v>
      </c>
      <c r="L38" s="208">
        <v>2066711</v>
      </c>
      <c r="M38" s="208">
        <v>2208061.85</v>
      </c>
      <c r="N38" s="208">
        <v>2706249.5</v>
      </c>
      <c r="O38" s="208">
        <v>2597780.5</v>
      </c>
      <c r="T38" s="220"/>
      <c r="W38" s="205"/>
    </row>
    <row r="39" spans="2:23" s="188" customFormat="1" x14ac:dyDescent="0.25">
      <c r="C39" s="207" t="s">
        <v>25</v>
      </c>
      <c r="D39" s="206" t="s">
        <v>16</v>
      </c>
      <c r="E39" s="206" t="s">
        <v>17</v>
      </c>
      <c r="F39" s="205"/>
      <c r="G39" s="208">
        <v>170202.72</v>
      </c>
      <c r="H39" s="208">
        <v>672800</v>
      </c>
      <c r="I39" s="208">
        <v>790675.17999999993</v>
      </c>
      <c r="J39" s="208">
        <v>567113.1800000011</v>
      </c>
      <c r="K39" s="208">
        <v>518594.33000000048</v>
      </c>
      <c r="L39" s="208">
        <v>478302.98</v>
      </c>
      <c r="M39" s="208">
        <v>564564.72</v>
      </c>
      <c r="N39" s="208">
        <v>771858</v>
      </c>
      <c r="O39" s="208">
        <v>685060.19</v>
      </c>
      <c r="P39" s="219"/>
      <c r="T39" s="220"/>
      <c r="W39" s="205"/>
    </row>
    <row r="40" spans="2:23" s="188" customFormat="1" x14ac:dyDescent="0.25">
      <c r="C40" s="207" t="s">
        <v>26</v>
      </c>
      <c r="D40" s="206" t="s">
        <v>16</v>
      </c>
      <c r="E40" s="206" t="s">
        <v>17</v>
      </c>
      <c r="F40" s="205"/>
      <c r="G40" s="208">
        <v>0</v>
      </c>
      <c r="H40" s="208">
        <v>0</v>
      </c>
      <c r="I40" s="208">
        <v>254505</v>
      </c>
      <c r="J40" s="208">
        <v>430727.19999999966</v>
      </c>
      <c r="K40" s="208">
        <v>357067.38999999996</v>
      </c>
      <c r="L40" s="208">
        <v>376531.89</v>
      </c>
      <c r="M40" s="208">
        <v>284427.71999999997</v>
      </c>
      <c r="N40" s="208">
        <v>732160</v>
      </c>
      <c r="O40" s="208">
        <v>338658</v>
      </c>
      <c r="T40" s="220"/>
      <c r="W40" s="205"/>
    </row>
    <row r="41" spans="2:23" s="188" customFormat="1" x14ac:dyDescent="0.25">
      <c r="C41" s="207" t="s">
        <v>27</v>
      </c>
      <c r="D41" s="206" t="s">
        <v>16</v>
      </c>
      <c r="E41" s="206" t="s">
        <v>17</v>
      </c>
      <c r="F41" s="205"/>
      <c r="G41" s="208">
        <v>242656.12</v>
      </c>
      <c r="H41" s="208">
        <v>228331.37999999989</v>
      </c>
      <c r="I41" s="208">
        <v>131264.56</v>
      </c>
      <c r="J41" s="208">
        <v>310539.03999999992</v>
      </c>
      <c r="K41" s="208">
        <v>222434.6</v>
      </c>
      <c r="L41" s="208">
        <v>187525</v>
      </c>
      <c r="M41" s="208">
        <v>114821</v>
      </c>
      <c r="N41" s="208">
        <v>139964.6</v>
      </c>
      <c r="O41" s="208">
        <v>162374</v>
      </c>
      <c r="T41" s="220"/>
      <c r="W41" s="205"/>
    </row>
    <row r="42" spans="2:23" s="188" customFormat="1" x14ac:dyDescent="0.25">
      <c r="C42" s="207" t="s">
        <v>28</v>
      </c>
      <c r="D42" s="206" t="s">
        <v>16</v>
      </c>
      <c r="E42" s="206" t="s">
        <v>17</v>
      </c>
      <c r="F42" s="205"/>
      <c r="G42" s="208">
        <v>0</v>
      </c>
      <c r="H42" s="208">
        <v>0</v>
      </c>
      <c r="I42" s="208">
        <v>0</v>
      </c>
      <c r="J42" s="208">
        <v>405695.57000000321</v>
      </c>
      <c r="K42" s="208">
        <v>459483.64000000188</v>
      </c>
      <c r="L42" s="208">
        <v>511268.93</v>
      </c>
      <c r="M42" s="208">
        <v>596613.63</v>
      </c>
      <c r="N42" s="208">
        <v>605764.98</v>
      </c>
      <c r="O42" s="208">
        <v>669060</v>
      </c>
      <c r="P42" s="379"/>
      <c r="Q42" s="216"/>
      <c r="R42" s="216"/>
      <c r="T42" s="220"/>
      <c r="U42" s="220"/>
      <c r="W42" s="205"/>
    </row>
    <row r="43" spans="2:23" s="188" customFormat="1" x14ac:dyDescent="0.25">
      <c r="C43" s="207" t="s">
        <v>270</v>
      </c>
      <c r="D43" s="206" t="s">
        <v>16</v>
      </c>
      <c r="E43" s="206" t="s">
        <v>17</v>
      </c>
      <c r="F43" s="205"/>
      <c r="G43" s="208">
        <v>0</v>
      </c>
      <c r="H43" s="208">
        <v>0</v>
      </c>
      <c r="I43" s="208">
        <v>0</v>
      </c>
      <c r="J43" s="208">
        <v>162420</v>
      </c>
      <c r="K43" s="208">
        <v>1036250</v>
      </c>
      <c r="L43" s="208">
        <v>1421872</v>
      </c>
      <c r="M43" s="208">
        <v>2398448</v>
      </c>
      <c r="N43" s="208">
        <v>4426255.0999999996</v>
      </c>
      <c r="O43" s="208">
        <v>4625867</v>
      </c>
      <c r="P43" s="379"/>
      <c r="Q43" s="216"/>
      <c r="R43" s="216"/>
      <c r="T43" s="220"/>
      <c r="U43" s="220"/>
      <c r="W43" s="205"/>
    </row>
    <row r="44" spans="2:23" s="188" customFormat="1" x14ac:dyDescent="0.25">
      <c r="C44" s="207" t="s">
        <v>29</v>
      </c>
      <c r="D44" s="206" t="s">
        <v>16</v>
      </c>
      <c r="E44" s="206" t="s">
        <v>17</v>
      </c>
      <c r="F44" s="205"/>
      <c r="G44" s="208">
        <v>281194.12</v>
      </c>
      <c r="H44" s="208">
        <v>317849.86999997508</v>
      </c>
      <c r="I44" s="208">
        <v>275312.29999999871</v>
      </c>
      <c r="J44" s="208">
        <v>311216.22999999981</v>
      </c>
      <c r="K44" s="208">
        <v>245892.87000000011</v>
      </c>
      <c r="L44" s="208">
        <v>535417.12999999989</v>
      </c>
      <c r="M44" s="208">
        <v>756776.38</v>
      </c>
      <c r="N44" s="208">
        <v>1170219.7900000003</v>
      </c>
      <c r="O44" s="208">
        <v>647800.32799999998</v>
      </c>
      <c r="W44" s="205"/>
    </row>
    <row r="45" spans="2:23" s="188" customFormat="1" ht="13.5" thickBot="1" x14ac:dyDescent="0.35">
      <c r="C45" s="210" t="s">
        <v>109</v>
      </c>
      <c r="D45" s="211" t="s">
        <v>16</v>
      </c>
      <c r="E45" s="211" t="s">
        <v>17</v>
      </c>
      <c r="F45" s="205"/>
      <c r="G45" s="212">
        <f t="shared" ref="G45:O45" si="0">+SUM(G7:G44)</f>
        <v>92334411.800000042</v>
      </c>
      <c r="H45" s="212">
        <f t="shared" si="0"/>
        <v>92440275.430000097</v>
      </c>
      <c r="I45" s="212">
        <f t="shared" si="0"/>
        <v>104389090.25373371</v>
      </c>
      <c r="J45" s="212">
        <f t="shared" si="0"/>
        <v>100092083.95109913</v>
      </c>
      <c r="K45" s="212">
        <f t="shared" si="0"/>
        <v>113278090.85000007</v>
      </c>
      <c r="L45" s="212">
        <f t="shared" si="0"/>
        <v>133967814.22000001</v>
      </c>
      <c r="M45" s="212">
        <f t="shared" si="0"/>
        <v>160671359.91999993</v>
      </c>
      <c r="N45" s="212">
        <f t="shared" si="0"/>
        <v>189996791.84999999</v>
      </c>
      <c r="O45" s="212">
        <f t="shared" si="0"/>
        <v>190743888.02799982</v>
      </c>
      <c r="T45" s="401"/>
    </row>
    <row r="46" spans="2:23" s="188" customFormat="1" x14ac:dyDescent="0.25">
      <c r="D46" s="206"/>
      <c r="E46" s="206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T46" s="401"/>
    </row>
    <row r="47" spans="2:23" s="188" customFormat="1" ht="13" x14ac:dyDescent="0.3">
      <c r="B47" s="391" t="s">
        <v>570</v>
      </c>
      <c r="D47" s="206"/>
      <c r="E47" s="206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23" s="188" customFormat="1" x14ac:dyDescent="0.25">
      <c r="C48" s="390" t="s">
        <v>571</v>
      </c>
      <c r="D48" s="206" t="s">
        <v>16</v>
      </c>
      <c r="E48" s="392" t="s">
        <v>568</v>
      </c>
      <c r="F48" s="205"/>
      <c r="G48" s="205">
        <v>0</v>
      </c>
      <c r="H48" s="205">
        <v>0</v>
      </c>
      <c r="I48" s="217">
        <v>41386</v>
      </c>
      <c r="J48" s="205">
        <v>0</v>
      </c>
      <c r="K48" s="205">
        <v>0</v>
      </c>
      <c r="L48" s="205">
        <v>0</v>
      </c>
      <c r="M48" s="205">
        <v>0</v>
      </c>
      <c r="N48" s="205">
        <v>0</v>
      </c>
      <c r="O48" s="205">
        <v>0</v>
      </c>
    </row>
    <row r="49" spans="2:27" s="188" customFormat="1" x14ac:dyDescent="0.25">
      <c r="C49" s="390" t="s">
        <v>572</v>
      </c>
      <c r="D49" s="206" t="s">
        <v>16</v>
      </c>
      <c r="E49" s="392" t="s">
        <v>568</v>
      </c>
      <c r="F49" s="205"/>
      <c r="G49" s="205">
        <v>0</v>
      </c>
      <c r="H49" s="205">
        <v>0</v>
      </c>
      <c r="I49" s="216">
        <f>+DATE(YEAR($I48),1,1)</f>
        <v>41275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</row>
    <row r="50" spans="2:27" s="188" customFormat="1" x14ac:dyDescent="0.25">
      <c r="C50" s="390" t="s">
        <v>573</v>
      </c>
      <c r="D50" s="206" t="s">
        <v>16</v>
      </c>
      <c r="E50" s="392" t="s">
        <v>568</v>
      </c>
      <c r="F50" s="205"/>
      <c r="G50" s="205">
        <v>0</v>
      </c>
      <c r="H50" s="205">
        <v>0</v>
      </c>
      <c r="I50" s="216">
        <f>+DATE(YEAR($I48),12,31)</f>
        <v>41639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</row>
    <row r="51" spans="2:27" s="188" customFormat="1" ht="13" x14ac:dyDescent="0.3">
      <c r="C51" s="393" t="s">
        <v>584</v>
      </c>
      <c r="D51" s="394" t="s">
        <v>16</v>
      </c>
      <c r="E51" s="394" t="s">
        <v>569</v>
      </c>
      <c r="F51" s="395"/>
      <c r="G51" s="395">
        <v>0</v>
      </c>
      <c r="H51" s="395">
        <v>0</v>
      </c>
      <c r="I51" s="397">
        <f>+(+I50-I49+1)/(I50-I48+1)</f>
        <v>1.4370078740157479</v>
      </c>
      <c r="J51" s="395">
        <v>0</v>
      </c>
      <c r="K51" s="395">
        <v>0</v>
      </c>
      <c r="L51" s="395">
        <v>0</v>
      </c>
      <c r="M51" s="395">
        <v>0</v>
      </c>
      <c r="N51" s="395">
        <v>0</v>
      </c>
      <c r="O51" s="395">
        <v>0</v>
      </c>
    </row>
    <row r="52" spans="2:27" s="188" customFormat="1" x14ac:dyDescent="0.25">
      <c r="D52" s="206"/>
      <c r="E52" s="206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27" s="188" customFormat="1" ht="13" x14ac:dyDescent="0.3">
      <c r="B53" s="391" t="s">
        <v>580</v>
      </c>
      <c r="C53" s="379"/>
      <c r="D53" s="392"/>
      <c r="E53" s="392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</row>
    <row r="54" spans="2:27" s="188" customFormat="1" x14ac:dyDescent="0.25">
      <c r="B54" s="379"/>
      <c r="C54" s="390" t="s">
        <v>571</v>
      </c>
      <c r="D54" s="392" t="s">
        <v>16</v>
      </c>
      <c r="E54" s="392" t="s">
        <v>568</v>
      </c>
      <c r="F54" s="398"/>
      <c r="G54" s="398">
        <v>0</v>
      </c>
      <c r="H54" s="398">
        <v>0</v>
      </c>
      <c r="I54" s="399">
        <v>41386</v>
      </c>
      <c r="J54" s="398">
        <v>0</v>
      </c>
      <c r="K54" s="398">
        <v>0</v>
      </c>
      <c r="L54" s="398">
        <v>0</v>
      </c>
      <c r="M54" s="398">
        <v>0</v>
      </c>
      <c r="N54" s="398">
        <v>0</v>
      </c>
      <c r="O54" s="398">
        <v>0</v>
      </c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</row>
    <row r="55" spans="2:27" s="188" customFormat="1" x14ac:dyDescent="0.25">
      <c r="B55" s="379"/>
      <c r="C55" s="390" t="s">
        <v>572</v>
      </c>
      <c r="D55" s="392" t="s">
        <v>16</v>
      </c>
      <c r="E55" s="392" t="s">
        <v>568</v>
      </c>
      <c r="F55" s="398"/>
      <c r="G55" s="398">
        <v>0</v>
      </c>
      <c r="H55" s="398">
        <v>0</v>
      </c>
      <c r="I55" s="400">
        <f>+DATE(YEAR($I54),1,1)</f>
        <v>41275</v>
      </c>
      <c r="J55" s="398">
        <v>0</v>
      </c>
      <c r="K55" s="398">
        <v>0</v>
      </c>
      <c r="L55" s="398">
        <v>0</v>
      </c>
      <c r="M55" s="398">
        <v>0</v>
      </c>
      <c r="N55" s="398">
        <v>0</v>
      </c>
      <c r="O55" s="398">
        <v>0</v>
      </c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</row>
    <row r="56" spans="2:27" s="188" customFormat="1" x14ac:dyDescent="0.25">
      <c r="B56" s="379"/>
      <c r="C56" s="390" t="s">
        <v>573</v>
      </c>
      <c r="D56" s="392" t="s">
        <v>16</v>
      </c>
      <c r="E56" s="392" t="s">
        <v>568</v>
      </c>
      <c r="F56" s="398"/>
      <c r="G56" s="398">
        <v>0</v>
      </c>
      <c r="H56" s="398">
        <v>0</v>
      </c>
      <c r="I56" s="400">
        <f>+DATE(YEAR($I54),12,31)</f>
        <v>41639</v>
      </c>
      <c r="J56" s="398">
        <v>0</v>
      </c>
      <c r="K56" s="398">
        <v>0</v>
      </c>
      <c r="L56" s="398">
        <v>0</v>
      </c>
      <c r="M56" s="398">
        <v>0</v>
      </c>
      <c r="N56" s="398">
        <v>0</v>
      </c>
      <c r="O56" s="398">
        <v>0</v>
      </c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</row>
    <row r="57" spans="2:27" s="188" customFormat="1" ht="13" x14ac:dyDescent="0.3">
      <c r="B57" s="379"/>
      <c r="C57" s="393" t="s">
        <v>583</v>
      </c>
      <c r="D57" s="394" t="s">
        <v>16</v>
      </c>
      <c r="E57" s="394" t="s">
        <v>569</v>
      </c>
      <c r="F57" s="395"/>
      <c r="G57" s="395">
        <v>0</v>
      </c>
      <c r="H57" s="395">
        <v>0</v>
      </c>
      <c r="I57" s="397">
        <f>+(+I56-I55+1)/(I56-I54+1)</f>
        <v>1.4370078740157479</v>
      </c>
      <c r="J57" s="395">
        <v>0</v>
      </c>
      <c r="K57" s="395">
        <v>0</v>
      </c>
      <c r="L57" s="395">
        <v>0</v>
      </c>
      <c r="M57" s="395">
        <v>0</v>
      </c>
      <c r="N57" s="395">
        <v>0</v>
      </c>
      <c r="O57" s="395">
        <v>0</v>
      </c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</row>
    <row r="58" spans="2:27" s="188" customFormat="1" x14ac:dyDescent="0.25">
      <c r="D58" s="206"/>
      <c r="E58" s="206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2:27" s="188" customFormat="1" ht="13" x14ac:dyDescent="0.3">
      <c r="B59" s="391" t="s">
        <v>581</v>
      </c>
      <c r="C59" s="379"/>
      <c r="D59" s="392"/>
      <c r="E59" s="392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</row>
    <row r="60" spans="2:27" s="188" customFormat="1" x14ac:dyDescent="0.25">
      <c r="B60" s="379"/>
      <c r="C60" s="390" t="s">
        <v>571</v>
      </c>
      <c r="D60" s="392" t="s">
        <v>16</v>
      </c>
      <c r="E60" s="392" t="s">
        <v>568</v>
      </c>
      <c r="F60" s="398"/>
      <c r="G60" s="398">
        <v>0</v>
      </c>
      <c r="H60" s="398">
        <v>0</v>
      </c>
      <c r="I60" s="398">
        <v>0</v>
      </c>
      <c r="J60" s="217">
        <v>41696</v>
      </c>
      <c r="K60" s="398">
        <v>0</v>
      </c>
      <c r="L60" s="398">
        <v>0</v>
      </c>
      <c r="M60" s="398">
        <v>0</v>
      </c>
      <c r="N60" s="398">
        <v>0</v>
      </c>
      <c r="O60" s="398">
        <v>0</v>
      </c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</row>
    <row r="61" spans="2:27" s="188" customFormat="1" x14ac:dyDescent="0.25">
      <c r="B61" s="379"/>
      <c r="C61" s="390" t="s">
        <v>572</v>
      </c>
      <c r="D61" s="392" t="s">
        <v>16</v>
      </c>
      <c r="E61" s="392" t="s">
        <v>568</v>
      </c>
      <c r="F61" s="398"/>
      <c r="G61" s="398">
        <v>0</v>
      </c>
      <c r="H61" s="398">
        <v>0</v>
      </c>
      <c r="I61" s="398">
        <v>0</v>
      </c>
      <c r="J61" s="400">
        <f>+DATE(YEAR(J60),1,1)</f>
        <v>41640</v>
      </c>
      <c r="K61" s="398">
        <v>0</v>
      </c>
      <c r="L61" s="398">
        <v>0</v>
      </c>
      <c r="M61" s="398">
        <v>0</v>
      </c>
      <c r="N61" s="398">
        <v>0</v>
      </c>
      <c r="O61" s="398">
        <v>0</v>
      </c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</row>
    <row r="62" spans="2:27" s="188" customFormat="1" x14ac:dyDescent="0.25">
      <c r="B62" s="379"/>
      <c r="C62" s="390" t="s">
        <v>573</v>
      </c>
      <c r="D62" s="392" t="s">
        <v>16</v>
      </c>
      <c r="E62" s="392" t="s">
        <v>568</v>
      </c>
      <c r="F62" s="398"/>
      <c r="G62" s="398">
        <v>0</v>
      </c>
      <c r="H62" s="398">
        <v>0</v>
      </c>
      <c r="I62" s="398">
        <v>0</v>
      </c>
      <c r="J62" s="400">
        <f>+DATE(YEAR(J60),12,31)</f>
        <v>42004</v>
      </c>
      <c r="K62" s="398">
        <v>0</v>
      </c>
      <c r="L62" s="398">
        <v>0</v>
      </c>
      <c r="M62" s="398">
        <v>0</v>
      </c>
      <c r="N62" s="398">
        <v>0</v>
      </c>
      <c r="O62" s="398">
        <v>0</v>
      </c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</row>
    <row r="63" spans="2:27" s="188" customFormat="1" ht="13" x14ac:dyDescent="0.3">
      <c r="B63" s="379"/>
      <c r="C63" s="393" t="s">
        <v>585</v>
      </c>
      <c r="D63" s="394" t="s">
        <v>16</v>
      </c>
      <c r="E63" s="394" t="s">
        <v>569</v>
      </c>
      <c r="F63" s="395"/>
      <c r="G63" s="395">
        <v>0</v>
      </c>
      <c r="H63" s="395">
        <v>0</v>
      </c>
      <c r="I63" s="395">
        <v>0</v>
      </c>
      <c r="J63" s="397">
        <f>+(+J62-J61+1)/(J62-J60+1)</f>
        <v>1.1812297734627832</v>
      </c>
      <c r="K63" s="395">
        <v>0</v>
      </c>
      <c r="L63" s="395">
        <v>0</v>
      </c>
      <c r="M63" s="395">
        <v>0</v>
      </c>
      <c r="N63" s="395">
        <v>0</v>
      </c>
      <c r="O63" s="395">
        <v>0</v>
      </c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</row>
    <row r="64" spans="2:27" s="188" customFormat="1" x14ac:dyDescent="0.25">
      <c r="B64" s="379"/>
      <c r="C64" s="379"/>
      <c r="D64" s="392"/>
      <c r="E64" s="392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</row>
    <row r="65" spans="2:27" s="188" customFormat="1" ht="13" x14ac:dyDescent="0.3">
      <c r="B65" s="391" t="s">
        <v>582</v>
      </c>
      <c r="C65" s="379"/>
      <c r="D65" s="392"/>
      <c r="E65" s="392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</row>
    <row r="66" spans="2:27" s="188" customFormat="1" x14ac:dyDescent="0.25">
      <c r="B66" s="379"/>
      <c r="C66" s="390" t="s">
        <v>571</v>
      </c>
      <c r="D66" s="392" t="s">
        <v>16</v>
      </c>
      <c r="E66" s="392" t="s">
        <v>568</v>
      </c>
      <c r="F66" s="398"/>
      <c r="G66" s="398">
        <v>0</v>
      </c>
      <c r="H66" s="398">
        <v>0</v>
      </c>
      <c r="I66" s="398">
        <v>0</v>
      </c>
      <c r="J66" s="399">
        <v>41548</v>
      </c>
      <c r="K66" s="398">
        <v>0</v>
      </c>
      <c r="L66" s="398">
        <v>0</v>
      </c>
      <c r="M66" s="398">
        <v>0</v>
      </c>
      <c r="N66" s="398">
        <v>0</v>
      </c>
      <c r="O66" s="398">
        <v>0</v>
      </c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</row>
    <row r="67" spans="2:27" s="188" customFormat="1" x14ac:dyDescent="0.25">
      <c r="B67" s="379"/>
      <c r="C67" s="390" t="s">
        <v>572</v>
      </c>
      <c r="D67" s="392" t="s">
        <v>16</v>
      </c>
      <c r="E67" s="392" t="s">
        <v>568</v>
      </c>
      <c r="F67" s="398"/>
      <c r="G67" s="398">
        <v>0</v>
      </c>
      <c r="H67" s="398">
        <v>0</v>
      </c>
      <c r="I67" s="398">
        <v>0</v>
      </c>
      <c r="J67" s="400">
        <f>+DATE(YEAR($J66),1,1)</f>
        <v>41275</v>
      </c>
      <c r="K67" s="398">
        <v>0</v>
      </c>
      <c r="L67" s="398">
        <v>0</v>
      </c>
      <c r="M67" s="398">
        <v>0</v>
      </c>
      <c r="N67" s="398">
        <v>0</v>
      </c>
      <c r="O67" s="398">
        <v>0</v>
      </c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</row>
    <row r="68" spans="2:27" s="188" customFormat="1" x14ac:dyDescent="0.25">
      <c r="B68" s="379"/>
      <c r="C68" s="390" t="s">
        <v>573</v>
      </c>
      <c r="D68" s="392" t="s">
        <v>16</v>
      </c>
      <c r="E68" s="392" t="s">
        <v>568</v>
      </c>
      <c r="F68" s="398"/>
      <c r="G68" s="398">
        <v>0</v>
      </c>
      <c r="H68" s="398">
        <v>0</v>
      </c>
      <c r="I68" s="398">
        <v>0</v>
      </c>
      <c r="J68" s="400">
        <f>+DATE(YEAR($J66),12,31)</f>
        <v>41639</v>
      </c>
      <c r="K68" s="398">
        <v>0</v>
      </c>
      <c r="L68" s="398">
        <v>0</v>
      </c>
      <c r="M68" s="398">
        <v>0</v>
      </c>
      <c r="N68" s="398">
        <v>0</v>
      </c>
      <c r="O68" s="398">
        <v>0</v>
      </c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</row>
    <row r="69" spans="2:27" s="188" customFormat="1" ht="13" x14ac:dyDescent="0.3">
      <c r="B69" s="379"/>
      <c r="C69" s="393" t="s">
        <v>586</v>
      </c>
      <c r="D69" s="394" t="s">
        <v>16</v>
      </c>
      <c r="E69" s="394" t="s">
        <v>569</v>
      </c>
      <c r="F69" s="395"/>
      <c r="G69" s="395">
        <v>0</v>
      </c>
      <c r="H69" s="395">
        <v>0</v>
      </c>
      <c r="I69" s="395">
        <v>0</v>
      </c>
      <c r="J69" s="397">
        <f>+(+J68-J67+1)/(J68-J66+1)</f>
        <v>3.9673913043478262</v>
      </c>
      <c r="K69" s="395">
        <v>0</v>
      </c>
      <c r="L69" s="395">
        <v>0</v>
      </c>
      <c r="M69" s="395">
        <v>0</v>
      </c>
      <c r="N69" s="395">
        <v>0</v>
      </c>
      <c r="O69" s="395">
        <v>0</v>
      </c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</row>
    <row r="70" spans="2:27" s="188" customFormat="1" x14ac:dyDescent="0.25">
      <c r="D70" s="206"/>
      <c r="E70" s="206"/>
      <c r="F70" s="205"/>
      <c r="G70" s="205"/>
      <c r="H70" s="205"/>
      <c r="I70" s="205"/>
      <c r="J70" s="205"/>
      <c r="K70" s="205"/>
      <c r="L70" s="205"/>
      <c r="M70" s="205"/>
      <c r="N70" s="205"/>
      <c r="O70" s="205"/>
    </row>
    <row r="71" spans="2:27" ht="13" x14ac:dyDescent="0.3">
      <c r="B71" s="7" t="s">
        <v>246</v>
      </c>
      <c r="G71" s="8"/>
      <c r="H71" s="8"/>
      <c r="I71" s="8"/>
      <c r="J71" s="8"/>
      <c r="K71" s="8"/>
      <c r="L71" s="8"/>
      <c r="M71" s="8"/>
      <c r="N71" s="8"/>
      <c r="O71" s="8"/>
    </row>
    <row r="72" spans="2:27" x14ac:dyDescent="0.25">
      <c r="C72" s="5" t="s">
        <v>11</v>
      </c>
      <c r="D72" s="6" t="s">
        <v>16</v>
      </c>
      <c r="E72" s="6" t="s">
        <v>17</v>
      </c>
      <c r="F72" s="8"/>
      <c r="G72" s="21">
        <f t="shared" ref="G72:O72" si="1">+G7</f>
        <v>9955886.1999999993</v>
      </c>
      <c r="H72" s="21">
        <f t="shared" si="1"/>
        <v>9772710.2200000007</v>
      </c>
      <c r="I72" s="21">
        <f t="shared" si="1"/>
        <v>11466464.76</v>
      </c>
      <c r="J72" s="21">
        <f t="shared" si="1"/>
        <v>9457514.0800000001</v>
      </c>
      <c r="K72" s="21">
        <f t="shared" si="1"/>
        <v>10218990.250000058</v>
      </c>
      <c r="L72" s="82">
        <f t="shared" si="1"/>
        <v>9127049.9600000009</v>
      </c>
      <c r="M72" s="82">
        <f t="shared" si="1"/>
        <v>10687257.85</v>
      </c>
      <c r="N72" s="82">
        <f t="shared" si="1"/>
        <v>12356363.330000011</v>
      </c>
      <c r="O72" s="82">
        <f t="shared" si="1"/>
        <v>12961177.939999998</v>
      </c>
    </row>
    <row r="73" spans="2:27" x14ac:dyDescent="0.25">
      <c r="C73" s="5" t="s">
        <v>12</v>
      </c>
      <c r="D73" s="6" t="s">
        <v>16</v>
      </c>
      <c r="E73" s="6" t="s">
        <v>17</v>
      </c>
      <c r="F73" s="8"/>
      <c r="G73" s="21">
        <f t="shared" ref="G73:O73" si="2">+G8+G16</f>
        <v>7686546.8000000007</v>
      </c>
      <c r="H73" s="21">
        <f t="shared" si="2"/>
        <v>6931073.1099999994</v>
      </c>
      <c r="I73" s="21">
        <f t="shared" si="2"/>
        <v>7954324.4199999999</v>
      </c>
      <c r="J73" s="21">
        <f t="shared" si="2"/>
        <v>8204467.0800000317</v>
      </c>
      <c r="K73" s="21">
        <f t="shared" si="2"/>
        <v>11347696.41</v>
      </c>
      <c r="L73" s="82">
        <f t="shared" si="2"/>
        <v>13945081.850000001</v>
      </c>
      <c r="M73" s="82">
        <f t="shared" si="2"/>
        <v>15958814.91</v>
      </c>
      <c r="N73" s="82">
        <f t="shared" si="2"/>
        <v>15917194.220000001</v>
      </c>
      <c r="O73" s="82">
        <f t="shared" si="2"/>
        <v>13503988.27</v>
      </c>
    </row>
    <row r="74" spans="2:27" x14ac:dyDescent="0.25">
      <c r="C74" s="5" t="s">
        <v>13</v>
      </c>
      <c r="D74" s="6" t="s">
        <v>16</v>
      </c>
      <c r="E74" s="6" t="s">
        <v>17</v>
      </c>
      <c r="F74" s="8"/>
      <c r="G74" s="21">
        <f t="shared" ref="G74:O74" si="3">+G9+G17</f>
        <v>11863223.359999999</v>
      </c>
      <c r="H74" s="21">
        <f t="shared" si="3"/>
        <v>10306918.1</v>
      </c>
      <c r="I74" s="21">
        <f t="shared" si="3"/>
        <v>14169731.490000002</v>
      </c>
      <c r="J74" s="21">
        <f t="shared" si="3"/>
        <v>14660816.729999688</v>
      </c>
      <c r="K74" s="21">
        <f t="shared" si="3"/>
        <v>18488357.370000001</v>
      </c>
      <c r="L74" s="82">
        <f t="shared" si="3"/>
        <v>22619935.250000004</v>
      </c>
      <c r="M74" s="82">
        <f t="shared" si="3"/>
        <v>26630230.429999996</v>
      </c>
      <c r="N74" s="82">
        <f t="shared" si="3"/>
        <v>33162470.509999998</v>
      </c>
      <c r="O74" s="82">
        <f t="shared" si="3"/>
        <v>35956198.589999989</v>
      </c>
    </row>
    <row r="75" spans="2:27" x14ac:dyDescent="0.25">
      <c r="C75" s="5" t="s">
        <v>14</v>
      </c>
      <c r="D75" s="6" t="s">
        <v>16</v>
      </c>
      <c r="E75" s="6" t="s">
        <v>17</v>
      </c>
      <c r="F75" s="8"/>
      <c r="G75" s="199">
        <f t="shared" ref="G75:O75" si="4">+G10+G18</f>
        <v>2103336.58</v>
      </c>
      <c r="H75" s="199">
        <f t="shared" si="4"/>
        <v>1461785.08</v>
      </c>
      <c r="I75" s="199">
        <f t="shared" si="4"/>
        <v>1406148.6199999999</v>
      </c>
      <c r="J75" s="199">
        <f t="shared" si="4"/>
        <v>1858648.79</v>
      </c>
      <c r="K75" s="199">
        <f t="shared" si="4"/>
        <v>2353176.16</v>
      </c>
      <c r="L75" s="199">
        <f t="shared" si="4"/>
        <v>3088772.2399999998</v>
      </c>
      <c r="M75" s="199">
        <f t="shared" si="4"/>
        <v>2831236.27</v>
      </c>
      <c r="N75" s="199">
        <f t="shared" si="4"/>
        <v>3197593.8500000006</v>
      </c>
      <c r="O75" s="199">
        <f t="shared" si="4"/>
        <v>2437880.2000000002</v>
      </c>
    </row>
    <row r="76" spans="2:27" x14ac:dyDescent="0.25">
      <c r="C76" s="5" t="s">
        <v>15</v>
      </c>
      <c r="D76" s="6" t="s">
        <v>16</v>
      </c>
      <c r="E76" s="6" t="s">
        <v>17</v>
      </c>
      <c r="F76" s="8"/>
      <c r="G76" s="199">
        <f t="shared" ref="G76:O76" si="5">+G11+G19</f>
        <v>4976706.5200000005</v>
      </c>
      <c r="H76" s="199">
        <f t="shared" si="5"/>
        <v>2427823.1100000003</v>
      </c>
      <c r="I76" s="199">
        <f t="shared" si="5"/>
        <v>4699039.7299999995</v>
      </c>
      <c r="J76" s="199">
        <f t="shared" si="5"/>
        <v>4195718.0599999987</v>
      </c>
      <c r="K76" s="199">
        <f t="shared" si="5"/>
        <v>6740476.0500000007</v>
      </c>
      <c r="L76" s="199">
        <f t="shared" si="5"/>
        <v>11738351.219999999</v>
      </c>
      <c r="M76" s="199">
        <f t="shared" si="5"/>
        <v>14738927.449999997</v>
      </c>
      <c r="N76" s="199">
        <f t="shared" si="5"/>
        <v>16943761.539999999</v>
      </c>
      <c r="O76" s="199">
        <f t="shared" si="5"/>
        <v>16323737.800000001</v>
      </c>
    </row>
    <row r="77" spans="2:27" x14ac:dyDescent="0.25">
      <c r="C77" s="5" t="s">
        <v>297</v>
      </c>
      <c r="D77" s="6" t="s">
        <v>16</v>
      </c>
      <c r="E77" s="6" t="s">
        <v>17</v>
      </c>
      <c r="F77" s="8"/>
      <c r="G77" s="199">
        <f t="shared" ref="G77:O77" si="6">+G12+G20</f>
        <v>395762.92</v>
      </c>
      <c r="H77" s="199">
        <f t="shared" si="6"/>
        <v>883675.54</v>
      </c>
      <c r="I77" s="199">
        <f t="shared" si="6"/>
        <v>481678.01</v>
      </c>
      <c r="J77" s="199">
        <f t="shared" si="6"/>
        <v>1009072.2499999998</v>
      </c>
      <c r="K77" s="199">
        <f t="shared" si="6"/>
        <v>745664.38</v>
      </c>
      <c r="L77" s="199">
        <f t="shared" si="6"/>
        <v>2020319.2000000002</v>
      </c>
      <c r="M77" s="199">
        <f t="shared" si="6"/>
        <v>2244161.5299999998</v>
      </c>
      <c r="N77" s="199">
        <f t="shared" si="6"/>
        <v>2708940.4000000004</v>
      </c>
      <c r="O77" s="199">
        <f t="shared" si="6"/>
        <v>2478533</v>
      </c>
    </row>
    <row r="78" spans="2:27" x14ac:dyDescent="0.25">
      <c r="C78" s="5" t="s">
        <v>298</v>
      </c>
      <c r="D78" s="6" t="s">
        <v>16</v>
      </c>
      <c r="E78" s="6" t="s">
        <v>17</v>
      </c>
      <c r="F78" s="8"/>
      <c r="G78" s="199">
        <f t="shared" ref="G78:O78" si="7">+G13+G21</f>
        <v>415365.52</v>
      </c>
      <c r="H78" s="199">
        <f t="shared" si="7"/>
        <v>805709.02</v>
      </c>
      <c r="I78" s="199">
        <f t="shared" si="7"/>
        <v>871192.62</v>
      </c>
      <c r="J78" s="199">
        <f t="shared" si="7"/>
        <v>1466612.2600000014</v>
      </c>
      <c r="K78" s="199">
        <f t="shared" si="7"/>
        <v>688776.69</v>
      </c>
      <c r="L78" s="199">
        <f t="shared" si="7"/>
        <v>2341317.8999999994</v>
      </c>
      <c r="M78" s="199">
        <f t="shared" si="7"/>
        <v>4170435.4</v>
      </c>
      <c r="N78" s="199">
        <f t="shared" si="7"/>
        <v>4182795</v>
      </c>
      <c r="O78" s="199">
        <f t="shared" si="7"/>
        <v>4020550.8</v>
      </c>
    </row>
    <row r="79" spans="2:27" x14ac:dyDescent="0.25">
      <c r="C79" s="5" t="s">
        <v>299</v>
      </c>
      <c r="D79" s="6" t="s">
        <v>16</v>
      </c>
      <c r="E79" s="6" t="s">
        <v>17</v>
      </c>
      <c r="F79" s="8"/>
      <c r="G79" s="199">
        <f t="shared" ref="G79:O79" si="8">+G14+G22</f>
        <v>226194.41999999998</v>
      </c>
      <c r="H79" s="199">
        <f t="shared" si="8"/>
        <v>167866.67</v>
      </c>
      <c r="I79" s="199">
        <f t="shared" si="8"/>
        <v>41501.649999999994</v>
      </c>
      <c r="J79" s="199">
        <f t="shared" si="8"/>
        <v>6395.6600000000008</v>
      </c>
      <c r="K79" s="199">
        <f t="shared" si="8"/>
        <v>41875.119999999995</v>
      </c>
      <c r="L79" s="199">
        <f t="shared" si="8"/>
        <v>197695.63999999998</v>
      </c>
      <c r="M79" s="199">
        <f t="shared" si="8"/>
        <v>207353.19999999998</v>
      </c>
      <c r="N79" s="199">
        <f t="shared" si="8"/>
        <v>106058</v>
      </c>
      <c r="O79" s="199">
        <f t="shared" si="8"/>
        <v>114170</v>
      </c>
    </row>
    <row r="80" spans="2:27" x14ac:dyDescent="0.25">
      <c r="C80" s="5" t="s">
        <v>300</v>
      </c>
      <c r="D80" s="6" t="s">
        <v>16</v>
      </c>
      <c r="E80" s="6" t="s">
        <v>17</v>
      </c>
      <c r="F80" s="8"/>
      <c r="G80" s="199">
        <f t="shared" ref="G80:O80" si="9">+G15+G23</f>
        <v>1304955.8400000001</v>
      </c>
      <c r="H80" s="199">
        <f t="shared" si="9"/>
        <v>659391.12</v>
      </c>
      <c r="I80" s="199">
        <f t="shared" si="9"/>
        <v>254846.09999999998</v>
      </c>
      <c r="J80" s="199">
        <f t="shared" si="9"/>
        <v>119461.81999999998</v>
      </c>
      <c r="K80" s="199">
        <f t="shared" si="9"/>
        <v>298491.55</v>
      </c>
      <c r="L80" s="199">
        <f t="shared" si="9"/>
        <v>2146032</v>
      </c>
      <c r="M80" s="199">
        <f t="shared" si="9"/>
        <v>1675109.8599999999</v>
      </c>
      <c r="N80" s="199">
        <f t="shared" si="9"/>
        <v>1454267</v>
      </c>
      <c r="O80" s="199">
        <f t="shared" si="9"/>
        <v>592614</v>
      </c>
    </row>
    <row r="81" spans="3:15" x14ac:dyDescent="0.25">
      <c r="C81" s="5" t="s">
        <v>263</v>
      </c>
      <c r="D81" s="6" t="s">
        <v>16</v>
      </c>
      <c r="E81" s="6" t="s">
        <v>17</v>
      </c>
      <c r="F81" s="8"/>
      <c r="G81" s="21">
        <f t="shared" ref="G81:O81" si="10">+G24</f>
        <v>12141117.1</v>
      </c>
      <c r="H81" s="21">
        <f t="shared" si="10"/>
        <v>13230663.440000091</v>
      </c>
      <c r="I81" s="21">
        <f t="shared" si="10"/>
        <v>13855647.560000001</v>
      </c>
      <c r="J81" s="21">
        <f t="shared" si="10"/>
        <v>14371024.390000001</v>
      </c>
      <c r="K81" s="21">
        <f t="shared" si="10"/>
        <v>14643180.876191784</v>
      </c>
      <c r="L81" s="21">
        <f t="shared" si="10"/>
        <v>15055781.540000001</v>
      </c>
      <c r="M81" s="21">
        <f t="shared" si="10"/>
        <v>16077866.959999999</v>
      </c>
      <c r="N81" s="21">
        <f t="shared" si="10"/>
        <v>23811623.341781057</v>
      </c>
      <c r="O81" s="82">
        <f t="shared" si="10"/>
        <v>25219979.427718751</v>
      </c>
    </row>
    <row r="82" spans="3:15" x14ac:dyDescent="0.25">
      <c r="C82" s="5" t="s">
        <v>264</v>
      </c>
      <c r="D82" s="6" t="s">
        <v>16</v>
      </c>
      <c r="E82" s="6" t="s">
        <v>17</v>
      </c>
      <c r="F82" s="8"/>
      <c r="G82" s="21">
        <f t="shared" ref="G82:O82" si="11">+G25</f>
        <v>9508803.0399999991</v>
      </c>
      <c r="H82" s="21">
        <f t="shared" si="11"/>
        <v>13037006.840000035</v>
      </c>
      <c r="I82" s="21">
        <f t="shared" si="11"/>
        <v>12373864.640000021</v>
      </c>
      <c r="J82" s="21">
        <f t="shared" si="11"/>
        <v>10055372.529999996</v>
      </c>
      <c r="K82" s="21">
        <f t="shared" si="11"/>
        <v>10280033.615707964</v>
      </c>
      <c r="L82" s="21">
        <f t="shared" si="11"/>
        <v>8656113.7899999991</v>
      </c>
      <c r="M82" s="21">
        <f t="shared" si="11"/>
        <v>11105799.639999999</v>
      </c>
      <c r="N82" s="21">
        <f t="shared" si="11"/>
        <v>10798725.720699998</v>
      </c>
      <c r="O82" s="82">
        <f t="shared" si="11"/>
        <v>10948152.855852941</v>
      </c>
    </row>
    <row r="83" spans="3:15" x14ac:dyDescent="0.25">
      <c r="C83" s="5" t="s">
        <v>265</v>
      </c>
      <c r="D83" s="6" t="s">
        <v>16</v>
      </c>
      <c r="E83" s="6" t="s">
        <v>17</v>
      </c>
      <c r="F83" s="8"/>
      <c r="G83" s="21">
        <f t="shared" ref="G83:O83" si="12">+G26</f>
        <v>24333718.900000028</v>
      </c>
      <c r="H83" s="21">
        <f t="shared" si="12"/>
        <v>22349432.880000014</v>
      </c>
      <c r="I83" s="21">
        <f t="shared" si="12"/>
        <v>24488202.369999994</v>
      </c>
      <c r="J83" s="21">
        <f t="shared" si="12"/>
        <v>21295422.440000013</v>
      </c>
      <c r="K83" s="21">
        <f t="shared" si="12"/>
        <v>17095440.559999991</v>
      </c>
      <c r="L83" s="21">
        <f t="shared" si="12"/>
        <v>20426011.670000002</v>
      </c>
      <c r="M83" s="21">
        <f t="shared" si="12"/>
        <v>26184359.34</v>
      </c>
      <c r="N83" s="21">
        <f t="shared" si="12"/>
        <v>28156363.799999975</v>
      </c>
      <c r="O83" s="82">
        <f t="shared" si="12"/>
        <v>32527246.449999999</v>
      </c>
    </row>
    <row r="84" spans="3:15" x14ac:dyDescent="0.25">
      <c r="C84" s="5" t="s">
        <v>266</v>
      </c>
      <c r="D84" s="6" t="s">
        <v>16</v>
      </c>
      <c r="E84" s="6" t="s">
        <v>17</v>
      </c>
      <c r="F84" s="8"/>
      <c r="G84" s="21">
        <f t="shared" ref="G84:O84" si="13">+G27</f>
        <v>3055563.3400000026</v>
      </c>
      <c r="H84" s="21">
        <f t="shared" si="13"/>
        <v>3196180.1400000034</v>
      </c>
      <c r="I84" s="21">
        <f t="shared" si="13"/>
        <v>3689661.53</v>
      </c>
      <c r="J84" s="21">
        <f t="shared" si="13"/>
        <v>3095581.5600000024</v>
      </c>
      <c r="K84" s="21">
        <f t="shared" si="13"/>
        <v>3184603.3299999968</v>
      </c>
      <c r="L84" s="21">
        <f t="shared" si="13"/>
        <v>3626481.05</v>
      </c>
      <c r="M84" s="21">
        <f t="shared" si="13"/>
        <v>4050317.4600000004</v>
      </c>
      <c r="N84" s="21">
        <f t="shared" si="13"/>
        <v>4493551.4899999965</v>
      </c>
      <c r="O84" s="82">
        <f t="shared" si="13"/>
        <v>6112010.6999999993</v>
      </c>
    </row>
    <row r="85" spans="3:15" x14ac:dyDescent="0.25">
      <c r="C85" s="5" t="s">
        <v>267</v>
      </c>
      <c r="D85" s="6" t="s">
        <v>16</v>
      </c>
      <c r="E85" s="6" t="s">
        <v>17</v>
      </c>
      <c r="F85" s="8"/>
      <c r="G85" s="21">
        <f t="shared" ref="G85:O85" si="14">+G28</f>
        <v>68320</v>
      </c>
      <c r="H85" s="21">
        <f t="shared" si="14"/>
        <v>148644.1</v>
      </c>
      <c r="I85" s="21">
        <f t="shared" si="14"/>
        <v>223963.62000000002</v>
      </c>
      <c r="J85" s="21">
        <f t="shared" si="14"/>
        <v>159789.38999999998</v>
      </c>
      <c r="K85" s="21">
        <f t="shared" si="14"/>
        <v>272541.92000000004</v>
      </c>
      <c r="L85" s="21">
        <f t="shared" si="14"/>
        <v>231207.62</v>
      </c>
      <c r="M85" s="21">
        <f t="shared" si="14"/>
        <v>306779.28999999998</v>
      </c>
      <c r="N85" s="21">
        <f t="shared" si="14"/>
        <v>277240.63999999897</v>
      </c>
      <c r="O85" s="82">
        <f t="shared" si="14"/>
        <v>451815.46</v>
      </c>
    </row>
    <row r="86" spans="3:15" x14ac:dyDescent="0.25">
      <c r="C86" s="5"/>
      <c r="F86" s="8"/>
      <c r="G86" s="17"/>
      <c r="H86" s="17"/>
      <c r="I86" s="17"/>
      <c r="J86" s="17"/>
      <c r="K86" s="17"/>
      <c r="L86" s="17"/>
      <c r="M86" s="17"/>
      <c r="N86" s="17"/>
      <c r="O86" s="19"/>
    </row>
    <row r="87" spans="3:15" x14ac:dyDescent="0.25">
      <c r="C87" s="5" t="s">
        <v>18</v>
      </c>
      <c r="D87" s="6" t="s">
        <v>16</v>
      </c>
      <c r="E87" s="6" t="s">
        <v>17</v>
      </c>
      <c r="F87" s="8"/>
      <c r="G87" s="21">
        <f t="shared" ref="G87:O87" si="15">+G30</f>
        <v>1727985.68</v>
      </c>
      <c r="H87" s="21">
        <f t="shared" si="15"/>
        <v>2792764.4499999923</v>
      </c>
      <c r="I87" s="21">
        <f t="shared" si="15"/>
        <v>2095746.5899999738</v>
      </c>
      <c r="J87" s="21">
        <f t="shared" si="15"/>
        <v>3643129.8700000132</v>
      </c>
      <c r="K87" s="21">
        <f t="shared" si="15"/>
        <v>6169090.2400000282</v>
      </c>
      <c r="L87" s="21">
        <f t="shared" si="15"/>
        <v>10020921.519999998</v>
      </c>
      <c r="M87" s="21">
        <f t="shared" si="15"/>
        <v>13564701.929999996</v>
      </c>
      <c r="N87" s="21">
        <f t="shared" si="15"/>
        <v>19067433.770000003</v>
      </c>
      <c r="O87" s="82">
        <f t="shared" si="15"/>
        <v>14425432.709999871</v>
      </c>
    </row>
    <row r="88" spans="3:15" x14ac:dyDescent="0.25">
      <c r="C88" s="5" t="s">
        <v>19</v>
      </c>
      <c r="D88" s="6" t="s">
        <v>16</v>
      </c>
      <c r="E88" s="6" t="s">
        <v>17</v>
      </c>
      <c r="F88" s="8"/>
      <c r="G88" s="21">
        <f t="shared" ref="G88:O88" si="16">+G31</f>
        <v>851144.1</v>
      </c>
      <c r="H88" s="21">
        <f t="shared" si="16"/>
        <v>700077.86000000022</v>
      </c>
      <c r="I88" s="21">
        <f t="shared" si="16"/>
        <v>180476.69000000003</v>
      </c>
      <c r="J88" s="21">
        <f t="shared" si="16"/>
        <v>479440.2</v>
      </c>
      <c r="K88" s="21">
        <f t="shared" si="16"/>
        <v>1681500.6708543131</v>
      </c>
      <c r="L88" s="21">
        <f t="shared" si="16"/>
        <v>796854.84</v>
      </c>
      <c r="M88" s="21">
        <f t="shared" si="16"/>
        <v>1532650.6</v>
      </c>
      <c r="N88" s="21">
        <f t="shared" si="16"/>
        <v>940451.26879999996</v>
      </c>
      <c r="O88" s="82">
        <f t="shared" si="16"/>
        <v>944324.92228124989</v>
      </c>
    </row>
    <row r="89" spans="3:15" x14ac:dyDescent="0.25">
      <c r="C89" s="5" t="s">
        <v>20</v>
      </c>
      <c r="D89" s="6" t="s">
        <v>16</v>
      </c>
      <c r="E89" s="6" t="s">
        <v>17</v>
      </c>
      <c r="F89" s="8"/>
      <c r="G89" s="21">
        <f t="shared" ref="G89:O89" si="17">+G32</f>
        <v>348365.57999999996</v>
      </c>
      <c r="H89" s="21">
        <f t="shared" si="17"/>
        <v>1285242.4600000002</v>
      </c>
      <c r="I89" s="21">
        <f t="shared" si="17"/>
        <v>1208632.9900000002</v>
      </c>
      <c r="J89" s="21">
        <f t="shared" si="17"/>
        <v>927475.35999999987</v>
      </c>
      <c r="K89" s="21">
        <f t="shared" si="17"/>
        <v>2102156.8742920076</v>
      </c>
      <c r="L89" s="21">
        <f t="shared" si="17"/>
        <v>767639.02999999991</v>
      </c>
      <c r="M89" s="21">
        <f t="shared" si="17"/>
        <v>935516.37999999989</v>
      </c>
      <c r="N89" s="21">
        <f t="shared" si="17"/>
        <v>1016028.8292999999</v>
      </c>
      <c r="O89" s="82">
        <f t="shared" si="17"/>
        <v>911315.97414705902</v>
      </c>
    </row>
    <row r="90" spans="3:15" x14ac:dyDescent="0.25">
      <c r="C90" s="5" t="s">
        <v>21</v>
      </c>
      <c r="D90" s="6" t="s">
        <v>16</v>
      </c>
      <c r="E90" s="6" t="s">
        <v>17</v>
      </c>
      <c r="F90" s="8"/>
      <c r="G90" s="21">
        <f t="shared" ref="G90:O90" si="18">+G33</f>
        <v>576500.94000000006</v>
      </c>
      <c r="H90" s="21">
        <f t="shared" si="18"/>
        <v>884530.0399999998</v>
      </c>
      <c r="I90" s="21">
        <f t="shared" si="18"/>
        <v>411200.8</v>
      </c>
      <c r="J90" s="21">
        <f t="shared" si="18"/>
        <v>158271.75</v>
      </c>
      <c r="K90" s="21">
        <f t="shared" si="18"/>
        <v>32665.060000000005</v>
      </c>
      <c r="L90" s="21">
        <f t="shared" si="18"/>
        <v>0</v>
      </c>
      <c r="M90" s="21">
        <f t="shared" si="18"/>
        <v>0</v>
      </c>
      <c r="N90" s="21">
        <f t="shared" si="18"/>
        <v>96.77</v>
      </c>
      <c r="O90" s="82">
        <f t="shared" si="18"/>
        <v>59636.66</v>
      </c>
    </row>
    <row r="91" spans="3:15" x14ac:dyDescent="0.25">
      <c r="C91" s="5" t="s">
        <v>22</v>
      </c>
      <c r="D91" s="6" t="s">
        <v>16</v>
      </c>
      <c r="E91" s="6" t="s">
        <v>17</v>
      </c>
      <c r="F91" s="8"/>
      <c r="G91" s="21">
        <f t="shared" ref="G91:O91" si="19">+G34</f>
        <v>0</v>
      </c>
      <c r="H91" s="21">
        <f t="shared" si="19"/>
        <v>0</v>
      </c>
      <c r="I91" s="21">
        <f t="shared" si="19"/>
        <v>1548818.61</v>
      </c>
      <c r="J91" s="21">
        <f t="shared" si="19"/>
        <v>1076097.4199999988</v>
      </c>
      <c r="K91" s="21">
        <f t="shared" si="19"/>
        <v>1171716.1599999995</v>
      </c>
      <c r="L91" s="21">
        <f t="shared" si="19"/>
        <v>397566.69</v>
      </c>
      <c r="M91" s="21">
        <f t="shared" si="19"/>
        <v>64230</v>
      </c>
      <c r="N91" s="21">
        <f t="shared" si="19"/>
        <v>-20000</v>
      </c>
      <c r="O91" s="82">
        <f t="shared" si="19"/>
        <v>25000</v>
      </c>
    </row>
    <row r="92" spans="3:15" x14ac:dyDescent="0.25">
      <c r="C92" s="5" t="s">
        <v>23</v>
      </c>
      <c r="D92" s="6" t="s">
        <v>16</v>
      </c>
      <c r="E92" s="6" t="s">
        <v>17</v>
      </c>
      <c r="F92" s="8"/>
      <c r="G92" s="21">
        <f t="shared" ref="G92:H101" si="20">+G35</f>
        <v>0</v>
      </c>
      <c r="H92" s="21">
        <f t="shared" si="20"/>
        <v>0</v>
      </c>
      <c r="I92" s="221">
        <f>+I35*I51</f>
        <v>521755.17583780544</v>
      </c>
      <c r="J92" s="21">
        <f t="shared" ref="J92:O98" si="21">+J35</f>
        <v>324854.32109933521</v>
      </c>
      <c r="K92" s="21">
        <f t="shared" si="21"/>
        <v>326202.03295392927</v>
      </c>
      <c r="L92" s="21">
        <f t="shared" si="21"/>
        <v>23746.219999999994</v>
      </c>
      <c r="M92" s="21">
        <f t="shared" si="21"/>
        <v>103114.79000000004</v>
      </c>
      <c r="N92" s="21">
        <f t="shared" si="21"/>
        <v>-8612.6205810397551</v>
      </c>
      <c r="O92" s="82">
        <f t="shared" si="21"/>
        <v>0</v>
      </c>
    </row>
    <row r="93" spans="3:15" x14ac:dyDescent="0.25">
      <c r="C93" s="5" t="s">
        <v>24</v>
      </c>
      <c r="D93" s="6" t="s">
        <v>16</v>
      </c>
      <c r="E93" s="6" t="s">
        <v>17</v>
      </c>
      <c r="F93" s="8"/>
      <c r="G93" s="21">
        <f t="shared" si="20"/>
        <v>0</v>
      </c>
      <c r="H93" s="21">
        <f t="shared" si="20"/>
        <v>0</v>
      </c>
      <c r="I93" s="222">
        <f>+I36*I57</f>
        <v>490670.37657480309</v>
      </c>
      <c r="J93" s="21">
        <f t="shared" si="21"/>
        <v>598621.79000000015</v>
      </c>
      <c r="K93" s="21">
        <f t="shared" si="21"/>
        <v>723891.85000000044</v>
      </c>
      <c r="L93" s="21">
        <f t="shared" si="21"/>
        <v>783226.06000000017</v>
      </c>
      <c r="M93" s="21">
        <f t="shared" si="21"/>
        <v>494226.50999999995</v>
      </c>
      <c r="N93" s="21">
        <f t="shared" si="21"/>
        <v>470210.52</v>
      </c>
      <c r="O93" s="82">
        <f t="shared" si="21"/>
        <v>427525.25000000006</v>
      </c>
    </row>
    <row r="94" spans="3:15" x14ac:dyDescent="0.25">
      <c r="C94" s="5" t="s">
        <v>268</v>
      </c>
      <c r="D94" s="6" t="s">
        <v>16</v>
      </c>
      <c r="E94" s="6" t="s">
        <v>17</v>
      </c>
      <c r="F94" s="8"/>
      <c r="G94" s="21">
        <f t="shared" si="20"/>
        <v>100862</v>
      </c>
      <c r="H94" s="21">
        <f t="shared" si="20"/>
        <v>179800</v>
      </c>
      <c r="I94" s="21">
        <f t="shared" ref="I94:I101" si="22">+I37</f>
        <v>412800</v>
      </c>
      <c r="J94" s="21">
        <f t="shared" si="21"/>
        <v>320394.99</v>
      </c>
      <c r="K94" s="21">
        <f t="shared" si="21"/>
        <v>382550</v>
      </c>
      <c r="L94" s="21">
        <f t="shared" si="21"/>
        <v>380080</v>
      </c>
      <c r="M94" s="21">
        <f t="shared" si="21"/>
        <v>184556.82</v>
      </c>
      <c r="N94" s="21">
        <f t="shared" si="21"/>
        <v>411762.5</v>
      </c>
      <c r="O94" s="82">
        <f t="shared" si="21"/>
        <v>575997</v>
      </c>
    </row>
    <row r="95" spans="3:15" x14ac:dyDescent="0.25">
      <c r="C95" s="5" t="s">
        <v>269</v>
      </c>
      <c r="D95" s="6" t="s">
        <v>16</v>
      </c>
      <c r="E95" s="6" t="s">
        <v>17</v>
      </c>
      <c r="F95" s="8"/>
      <c r="G95" s="21">
        <f t="shared" si="20"/>
        <v>0</v>
      </c>
      <c r="H95" s="21">
        <f t="shared" si="20"/>
        <v>0</v>
      </c>
      <c r="I95" s="21">
        <f t="shared" si="22"/>
        <v>398853.17999999993</v>
      </c>
      <c r="J95" s="21">
        <f t="shared" si="21"/>
        <v>420189.99</v>
      </c>
      <c r="K95" s="21">
        <f t="shared" si="21"/>
        <v>1449290.85</v>
      </c>
      <c r="L95" s="21">
        <f t="shared" si="21"/>
        <v>2066711</v>
      </c>
      <c r="M95" s="21">
        <f t="shared" si="21"/>
        <v>2208061.85</v>
      </c>
      <c r="N95" s="21">
        <f t="shared" si="21"/>
        <v>2706249.5</v>
      </c>
      <c r="O95" s="82">
        <f t="shared" si="21"/>
        <v>2597780.5</v>
      </c>
    </row>
    <row r="96" spans="3:15" x14ac:dyDescent="0.25">
      <c r="C96" s="5" t="s">
        <v>25</v>
      </c>
      <c r="D96" s="6" t="s">
        <v>16</v>
      </c>
      <c r="E96" s="6" t="s">
        <v>17</v>
      </c>
      <c r="F96" s="8"/>
      <c r="G96" s="21">
        <f t="shared" si="20"/>
        <v>170202.72</v>
      </c>
      <c r="H96" s="21">
        <f t="shared" si="20"/>
        <v>672800</v>
      </c>
      <c r="I96" s="21">
        <f t="shared" si="22"/>
        <v>790675.17999999993</v>
      </c>
      <c r="J96" s="21">
        <f t="shared" si="21"/>
        <v>567113.1800000011</v>
      </c>
      <c r="K96" s="21">
        <f t="shared" si="21"/>
        <v>518594.33000000048</v>
      </c>
      <c r="L96" s="21">
        <f t="shared" si="21"/>
        <v>478302.98</v>
      </c>
      <c r="M96" s="21">
        <f t="shared" si="21"/>
        <v>564564.72</v>
      </c>
      <c r="N96" s="21">
        <f t="shared" si="21"/>
        <v>771858</v>
      </c>
      <c r="O96" s="82">
        <f t="shared" si="21"/>
        <v>685060.19</v>
      </c>
    </row>
    <row r="97" spans="2:25" x14ac:dyDescent="0.25">
      <c r="C97" s="5" t="s">
        <v>26</v>
      </c>
      <c r="D97" s="6" t="s">
        <v>16</v>
      </c>
      <c r="E97" s="6" t="s">
        <v>17</v>
      </c>
      <c r="F97" s="8"/>
      <c r="G97" s="21">
        <f t="shared" si="20"/>
        <v>0</v>
      </c>
      <c r="H97" s="21">
        <f t="shared" si="20"/>
        <v>0</v>
      </c>
      <c r="I97" s="21">
        <f t="shared" si="22"/>
        <v>254505</v>
      </c>
      <c r="J97" s="21">
        <f t="shared" si="21"/>
        <v>430727.19999999966</v>
      </c>
      <c r="K97" s="21">
        <f t="shared" si="21"/>
        <v>357067.38999999996</v>
      </c>
      <c r="L97" s="21">
        <f t="shared" si="21"/>
        <v>376531.89</v>
      </c>
      <c r="M97" s="21">
        <f t="shared" si="21"/>
        <v>284427.71999999997</v>
      </c>
      <c r="N97" s="21">
        <f t="shared" si="21"/>
        <v>732160</v>
      </c>
      <c r="O97" s="82">
        <f t="shared" si="21"/>
        <v>338658</v>
      </c>
    </row>
    <row r="98" spans="2:25" x14ac:dyDescent="0.25">
      <c r="C98" s="5" t="s">
        <v>27</v>
      </c>
      <c r="D98" s="6" t="s">
        <v>16</v>
      </c>
      <c r="E98" s="6" t="s">
        <v>17</v>
      </c>
      <c r="F98" s="8"/>
      <c r="G98" s="21">
        <f t="shared" si="20"/>
        <v>242656.12</v>
      </c>
      <c r="H98" s="21">
        <f t="shared" si="20"/>
        <v>228331.37999999989</v>
      </c>
      <c r="I98" s="21">
        <f t="shared" si="22"/>
        <v>131264.56</v>
      </c>
      <c r="J98" s="21">
        <f t="shared" si="21"/>
        <v>310539.03999999992</v>
      </c>
      <c r="K98" s="21">
        <f t="shared" si="21"/>
        <v>222434.6</v>
      </c>
      <c r="L98" s="21">
        <f t="shared" si="21"/>
        <v>187525</v>
      </c>
      <c r="M98" s="21">
        <f t="shared" si="21"/>
        <v>114821</v>
      </c>
      <c r="N98" s="21">
        <f t="shared" si="21"/>
        <v>139964.6</v>
      </c>
      <c r="O98" s="82">
        <f t="shared" si="21"/>
        <v>162374</v>
      </c>
    </row>
    <row r="99" spans="2:25" x14ac:dyDescent="0.25">
      <c r="C99" s="5" t="s">
        <v>28</v>
      </c>
      <c r="D99" s="6" t="s">
        <v>16</v>
      </c>
      <c r="E99" s="6" t="s">
        <v>17</v>
      </c>
      <c r="F99" s="8"/>
      <c r="G99" s="21">
        <f t="shared" si="20"/>
        <v>0</v>
      </c>
      <c r="H99" s="21">
        <f t="shared" si="20"/>
        <v>0</v>
      </c>
      <c r="I99" s="21">
        <f t="shared" si="22"/>
        <v>0</v>
      </c>
      <c r="J99" s="222">
        <f>+J42*J63</f>
        <v>479219.6862459585</v>
      </c>
      <c r="K99" s="21">
        <f t="shared" ref="K99:O101" si="23">+K42</f>
        <v>459483.64000000188</v>
      </c>
      <c r="L99" s="21">
        <f t="shared" si="23"/>
        <v>511268.93</v>
      </c>
      <c r="M99" s="21">
        <f t="shared" si="23"/>
        <v>596613.63</v>
      </c>
      <c r="N99" s="21">
        <f t="shared" si="23"/>
        <v>605764.98</v>
      </c>
      <c r="O99" s="82">
        <f t="shared" si="23"/>
        <v>669060</v>
      </c>
    </row>
    <row r="100" spans="2:25" x14ac:dyDescent="0.25">
      <c r="C100" s="5" t="s">
        <v>270</v>
      </c>
      <c r="D100" s="6" t="s">
        <v>16</v>
      </c>
      <c r="E100" s="6" t="s">
        <v>17</v>
      </c>
      <c r="F100" s="8"/>
      <c r="G100" s="21">
        <f t="shared" si="20"/>
        <v>0</v>
      </c>
      <c r="H100" s="21">
        <f t="shared" si="20"/>
        <v>0</v>
      </c>
      <c r="I100" s="21">
        <f t="shared" si="22"/>
        <v>0</v>
      </c>
      <c r="J100" s="221">
        <f>+J43*J69</f>
        <v>644383.69565217395</v>
      </c>
      <c r="K100" s="21">
        <f t="shared" si="23"/>
        <v>1036250</v>
      </c>
      <c r="L100" s="21">
        <f t="shared" si="23"/>
        <v>1421872</v>
      </c>
      <c r="M100" s="21">
        <f t="shared" si="23"/>
        <v>2398448</v>
      </c>
      <c r="N100" s="21">
        <f t="shared" si="23"/>
        <v>4426255.0999999996</v>
      </c>
      <c r="O100" s="82">
        <f t="shared" si="23"/>
        <v>4625867</v>
      </c>
    </row>
    <row r="101" spans="2:25" x14ac:dyDescent="0.25">
      <c r="C101" s="5" t="s">
        <v>29</v>
      </c>
      <c r="D101" s="6" t="s">
        <v>16</v>
      </c>
      <c r="E101" s="6" t="s">
        <v>17</v>
      </c>
      <c r="F101" s="8"/>
      <c r="G101" s="21">
        <f t="shared" si="20"/>
        <v>281194.12</v>
      </c>
      <c r="H101" s="21">
        <f t="shared" si="20"/>
        <v>317849.86999997508</v>
      </c>
      <c r="I101" s="21">
        <f t="shared" si="22"/>
        <v>275312.29999999871</v>
      </c>
      <c r="J101" s="21">
        <f>+J44</f>
        <v>311216.22999999981</v>
      </c>
      <c r="K101" s="21">
        <f t="shared" si="23"/>
        <v>245892.87000000011</v>
      </c>
      <c r="L101" s="21">
        <f t="shared" si="23"/>
        <v>535417.12999999989</v>
      </c>
      <c r="M101" s="21">
        <f t="shared" si="23"/>
        <v>756776.38</v>
      </c>
      <c r="N101" s="21">
        <f t="shared" si="23"/>
        <v>1170219.7900000003</v>
      </c>
      <c r="O101" s="82">
        <f t="shared" si="23"/>
        <v>647800.32799999998</v>
      </c>
    </row>
    <row r="102" spans="2:25" ht="13.5" thickBot="1" x14ac:dyDescent="0.35">
      <c r="C102" s="72" t="s">
        <v>109</v>
      </c>
      <c r="D102" s="75" t="s">
        <v>16</v>
      </c>
      <c r="E102" s="75" t="s">
        <v>17</v>
      </c>
      <c r="F102" s="8"/>
      <c r="G102" s="165">
        <f t="shared" ref="G102:O102" si="24">+SUM(G72:G101)</f>
        <v>92334411.800000057</v>
      </c>
      <c r="H102" s="165">
        <f t="shared" si="24"/>
        <v>92440275.430000082</v>
      </c>
      <c r="I102" s="165">
        <f t="shared" si="24"/>
        <v>104696978.57241258</v>
      </c>
      <c r="J102" s="165">
        <f t="shared" si="24"/>
        <v>100647571.76299725</v>
      </c>
      <c r="K102" s="165">
        <f t="shared" si="24"/>
        <v>113278090.85000004</v>
      </c>
      <c r="L102" s="165">
        <f t="shared" si="24"/>
        <v>133967814.22000001</v>
      </c>
      <c r="M102" s="165">
        <f t="shared" si="24"/>
        <v>160671359.91999996</v>
      </c>
      <c r="N102" s="165">
        <f t="shared" si="24"/>
        <v>189996791.84999999</v>
      </c>
      <c r="O102" s="165">
        <f t="shared" si="24"/>
        <v>190743888.02799982</v>
      </c>
    </row>
    <row r="103" spans="2:25" x14ac:dyDescent="0.25">
      <c r="F103" s="8"/>
      <c r="G103" s="208"/>
      <c r="H103" s="208"/>
      <c r="I103" s="208"/>
      <c r="J103" s="208"/>
      <c r="K103" s="208"/>
      <c r="L103" s="208"/>
      <c r="M103" s="208"/>
      <c r="N103" s="208"/>
      <c r="O103" s="208"/>
    </row>
    <row r="104" spans="2:25" ht="13" x14ac:dyDescent="0.3">
      <c r="B104" s="7" t="s">
        <v>246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2:25" x14ac:dyDescent="0.25">
      <c r="C105" s="5" t="s">
        <v>11</v>
      </c>
      <c r="D105" s="6" t="s">
        <v>16</v>
      </c>
      <c r="E105" s="6" t="s">
        <v>271</v>
      </c>
      <c r="F105" s="8"/>
      <c r="G105" s="21">
        <f t="shared" ref="G105:O105" si="25">(+G72)/mil</f>
        <v>9955.886199999999</v>
      </c>
      <c r="H105" s="21">
        <f t="shared" si="25"/>
        <v>9772.7102200000008</v>
      </c>
      <c r="I105" s="21">
        <f t="shared" si="25"/>
        <v>11466.464759999999</v>
      </c>
      <c r="J105" s="21">
        <f t="shared" si="25"/>
        <v>9457.5140800000008</v>
      </c>
      <c r="K105" s="21">
        <f t="shared" si="25"/>
        <v>10218.990250000057</v>
      </c>
      <c r="L105" s="21">
        <f t="shared" si="25"/>
        <v>9127.0499600000003</v>
      </c>
      <c r="M105" s="21">
        <f t="shared" si="25"/>
        <v>10687.25785</v>
      </c>
      <c r="N105" s="21">
        <f t="shared" si="25"/>
        <v>12356.363330000011</v>
      </c>
      <c r="O105" s="21">
        <f t="shared" si="25"/>
        <v>12961.177939999998</v>
      </c>
    </row>
    <row r="106" spans="2:25" x14ac:dyDescent="0.25">
      <c r="C106" s="5" t="s">
        <v>12</v>
      </c>
      <c r="D106" s="6" t="s">
        <v>16</v>
      </c>
      <c r="E106" s="6" t="s">
        <v>271</v>
      </c>
      <c r="F106" s="8"/>
      <c r="G106" s="21">
        <f t="shared" ref="G106:O106" si="26">(+G73)/mil</f>
        <v>7686.546800000001</v>
      </c>
      <c r="H106" s="21">
        <f t="shared" si="26"/>
        <v>6931.0731099999994</v>
      </c>
      <c r="I106" s="21">
        <f t="shared" si="26"/>
        <v>7954.3244199999999</v>
      </c>
      <c r="J106" s="21">
        <f t="shared" si="26"/>
        <v>8204.4670800000313</v>
      </c>
      <c r="K106" s="21">
        <f t="shared" si="26"/>
        <v>11347.69641</v>
      </c>
      <c r="L106" s="21">
        <f t="shared" si="26"/>
        <v>13945.081850000002</v>
      </c>
      <c r="M106" s="21">
        <f t="shared" si="26"/>
        <v>15958.814910000001</v>
      </c>
      <c r="N106" s="21">
        <f t="shared" si="26"/>
        <v>15917.194220000001</v>
      </c>
      <c r="O106" s="21">
        <f t="shared" si="26"/>
        <v>13503.98827</v>
      </c>
    </row>
    <row r="107" spans="2:25" x14ac:dyDescent="0.25">
      <c r="C107" s="5" t="s">
        <v>13</v>
      </c>
      <c r="D107" s="6" t="s">
        <v>16</v>
      </c>
      <c r="E107" s="6" t="s">
        <v>271</v>
      </c>
      <c r="F107" s="8"/>
      <c r="G107" s="21">
        <f t="shared" ref="G107:O107" si="27">(+G74)/mil</f>
        <v>11863.22336</v>
      </c>
      <c r="H107" s="21">
        <f t="shared" si="27"/>
        <v>10306.918099999999</v>
      </c>
      <c r="I107" s="21">
        <f t="shared" si="27"/>
        <v>14169.731490000002</v>
      </c>
      <c r="J107" s="21">
        <f t="shared" si="27"/>
        <v>14660.816729999688</v>
      </c>
      <c r="K107" s="21">
        <f t="shared" si="27"/>
        <v>18488.357370000002</v>
      </c>
      <c r="L107" s="21">
        <f t="shared" si="27"/>
        <v>22619.935250000002</v>
      </c>
      <c r="M107" s="21">
        <f t="shared" si="27"/>
        <v>26630.230429999996</v>
      </c>
      <c r="N107" s="21">
        <f t="shared" si="27"/>
        <v>33162.470509999999</v>
      </c>
      <c r="O107" s="21">
        <f t="shared" si="27"/>
        <v>35956.198589999985</v>
      </c>
    </row>
    <row r="108" spans="2:25" x14ac:dyDescent="0.25">
      <c r="C108" s="5" t="s">
        <v>14</v>
      </c>
      <c r="D108" s="6" t="s">
        <v>16</v>
      </c>
      <c r="E108" s="6" t="s">
        <v>271</v>
      </c>
      <c r="F108" s="8"/>
      <c r="G108" s="21">
        <f t="shared" ref="G108:O108" si="28">(+G75)/mil</f>
        <v>2103.3365800000001</v>
      </c>
      <c r="H108" s="21">
        <f t="shared" si="28"/>
        <v>1461.7850800000001</v>
      </c>
      <c r="I108" s="21">
        <f t="shared" si="28"/>
        <v>1406.1486199999999</v>
      </c>
      <c r="J108" s="21">
        <f t="shared" si="28"/>
        <v>1858.64879</v>
      </c>
      <c r="K108" s="21">
        <f t="shared" si="28"/>
        <v>2353.17616</v>
      </c>
      <c r="L108" s="21">
        <f t="shared" si="28"/>
        <v>3088.7722399999998</v>
      </c>
      <c r="M108" s="21">
        <f t="shared" si="28"/>
        <v>2831.2362699999999</v>
      </c>
      <c r="N108" s="21">
        <f t="shared" si="28"/>
        <v>3197.5938500000007</v>
      </c>
      <c r="O108" s="21">
        <f t="shared" si="28"/>
        <v>2437.8802000000001</v>
      </c>
    </row>
    <row r="109" spans="2:25" x14ac:dyDescent="0.25">
      <c r="C109" s="5" t="s">
        <v>15</v>
      </c>
      <c r="D109" s="6" t="s">
        <v>16</v>
      </c>
      <c r="E109" s="6" t="s">
        <v>271</v>
      </c>
      <c r="F109" s="8"/>
      <c r="G109" s="21">
        <f t="shared" ref="G109:O109" si="29">(+G76)/mil</f>
        <v>4976.7065200000006</v>
      </c>
      <c r="H109" s="21">
        <f t="shared" si="29"/>
        <v>2427.8231100000003</v>
      </c>
      <c r="I109" s="21">
        <f t="shared" si="29"/>
        <v>4699.0397299999995</v>
      </c>
      <c r="J109" s="21">
        <f t="shared" si="29"/>
        <v>4195.7180599999983</v>
      </c>
      <c r="K109" s="21">
        <f t="shared" si="29"/>
        <v>6740.4760500000011</v>
      </c>
      <c r="L109" s="21">
        <f t="shared" si="29"/>
        <v>11738.351219999999</v>
      </c>
      <c r="M109" s="21">
        <f t="shared" si="29"/>
        <v>14738.927449999997</v>
      </c>
      <c r="N109" s="21">
        <f t="shared" si="29"/>
        <v>16943.76154</v>
      </c>
      <c r="O109" s="21">
        <f t="shared" si="29"/>
        <v>16323.737800000001</v>
      </c>
    </row>
    <row r="110" spans="2:25" x14ac:dyDescent="0.25">
      <c r="C110" s="5" t="s">
        <v>297</v>
      </c>
      <c r="D110" s="6" t="s">
        <v>16</v>
      </c>
      <c r="E110" s="6" t="s">
        <v>271</v>
      </c>
      <c r="F110" s="8"/>
      <c r="G110" s="21">
        <f t="shared" ref="G110:O110" si="30">(+G77)/mil</f>
        <v>395.76292000000001</v>
      </c>
      <c r="H110" s="21">
        <f t="shared" si="30"/>
        <v>883.67554000000007</v>
      </c>
      <c r="I110" s="21">
        <f t="shared" si="30"/>
        <v>481.67801000000003</v>
      </c>
      <c r="J110" s="21">
        <f t="shared" si="30"/>
        <v>1009.0722499999997</v>
      </c>
      <c r="K110" s="21">
        <f t="shared" si="30"/>
        <v>745.66438000000005</v>
      </c>
      <c r="L110" s="21">
        <f t="shared" si="30"/>
        <v>2020.3192000000001</v>
      </c>
      <c r="M110" s="21">
        <f t="shared" si="30"/>
        <v>2244.1615299999999</v>
      </c>
      <c r="N110" s="21">
        <f t="shared" si="30"/>
        <v>2708.9404000000004</v>
      </c>
      <c r="O110" s="21">
        <f t="shared" si="30"/>
        <v>2478.5329999999999</v>
      </c>
      <c r="Q110" s="8"/>
      <c r="R110" s="8"/>
      <c r="S110" s="8"/>
      <c r="T110" s="8"/>
      <c r="U110" s="8"/>
      <c r="V110" s="8"/>
      <c r="W110" s="8"/>
      <c r="X110" s="8"/>
      <c r="Y110" s="8"/>
    </row>
    <row r="111" spans="2:25" x14ac:dyDescent="0.25">
      <c r="C111" s="5" t="s">
        <v>298</v>
      </c>
      <c r="D111" s="6" t="s">
        <v>16</v>
      </c>
      <c r="E111" s="6" t="s">
        <v>271</v>
      </c>
      <c r="F111" s="8"/>
      <c r="G111" s="21">
        <f t="shared" ref="G111:O111" si="31">(+G78)/mil</f>
        <v>415.36552</v>
      </c>
      <c r="H111" s="21">
        <f t="shared" si="31"/>
        <v>805.70902000000001</v>
      </c>
      <c r="I111" s="21">
        <f t="shared" si="31"/>
        <v>871.19262000000003</v>
      </c>
      <c r="J111" s="21">
        <f t="shared" si="31"/>
        <v>1466.6122600000015</v>
      </c>
      <c r="K111" s="21">
        <f t="shared" si="31"/>
        <v>688.77668999999992</v>
      </c>
      <c r="L111" s="21">
        <f t="shared" si="31"/>
        <v>2341.3178999999996</v>
      </c>
      <c r="M111" s="21">
        <f t="shared" si="31"/>
        <v>4170.4354000000003</v>
      </c>
      <c r="N111" s="21">
        <f t="shared" si="31"/>
        <v>4182.7950000000001</v>
      </c>
      <c r="O111" s="21">
        <f t="shared" si="31"/>
        <v>4020.5508</v>
      </c>
    </row>
    <row r="112" spans="2:25" x14ac:dyDescent="0.25">
      <c r="C112" s="5" t="s">
        <v>299</v>
      </c>
      <c r="D112" s="6" t="s">
        <v>16</v>
      </c>
      <c r="E112" s="6" t="s">
        <v>271</v>
      </c>
      <c r="F112" s="8"/>
      <c r="G112" s="21">
        <f t="shared" ref="G112:O112" si="32">(+G79)/mil</f>
        <v>226.19441999999998</v>
      </c>
      <c r="H112" s="21">
        <f t="shared" si="32"/>
        <v>167.86667</v>
      </c>
      <c r="I112" s="21">
        <f t="shared" si="32"/>
        <v>41.501649999999991</v>
      </c>
      <c r="J112" s="21">
        <f t="shared" si="32"/>
        <v>6.3956600000000003</v>
      </c>
      <c r="K112" s="21">
        <f t="shared" si="32"/>
        <v>41.875119999999995</v>
      </c>
      <c r="L112" s="21">
        <f t="shared" si="32"/>
        <v>197.69564</v>
      </c>
      <c r="M112" s="21">
        <f t="shared" si="32"/>
        <v>207.35319999999999</v>
      </c>
      <c r="N112" s="21">
        <f t="shared" si="32"/>
        <v>106.05800000000001</v>
      </c>
      <c r="O112" s="21">
        <f t="shared" si="32"/>
        <v>114.17</v>
      </c>
    </row>
    <row r="113" spans="2:17" x14ac:dyDescent="0.25">
      <c r="C113" s="5" t="s">
        <v>300</v>
      </c>
      <c r="D113" s="6" t="s">
        <v>16</v>
      </c>
      <c r="E113" s="6" t="s">
        <v>271</v>
      </c>
      <c r="F113" s="8"/>
      <c r="G113" s="21">
        <f t="shared" ref="G113:O113" si="33">(+G80)/mil</f>
        <v>1304.9558400000001</v>
      </c>
      <c r="H113" s="21">
        <f t="shared" si="33"/>
        <v>659.39112</v>
      </c>
      <c r="I113" s="21">
        <f t="shared" si="33"/>
        <v>254.84609999999998</v>
      </c>
      <c r="J113" s="21">
        <f t="shared" si="33"/>
        <v>119.46181999999997</v>
      </c>
      <c r="K113" s="21">
        <f t="shared" si="33"/>
        <v>298.49154999999996</v>
      </c>
      <c r="L113" s="21">
        <f t="shared" si="33"/>
        <v>2146.0320000000002</v>
      </c>
      <c r="M113" s="21">
        <f t="shared" si="33"/>
        <v>1675.1098599999998</v>
      </c>
      <c r="N113" s="21">
        <f t="shared" si="33"/>
        <v>1454.2670000000001</v>
      </c>
      <c r="O113" s="21">
        <f t="shared" si="33"/>
        <v>592.61400000000003</v>
      </c>
    </row>
    <row r="114" spans="2:17" ht="13" x14ac:dyDescent="0.3">
      <c r="B114" s="7"/>
      <c r="C114" s="5" t="s">
        <v>263</v>
      </c>
      <c r="D114" s="6" t="s">
        <v>16</v>
      </c>
      <c r="E114" s="6" t="s">
        <v>271</v>
      </c>
      <c r="F114" s="8"/>
      <c r="G114" s="21">
        <f t="shared" ref="G114:O114" si="34">(+G81)/mil</f>
        <v>12141.117099999999</v>
      </c>
      <c r="H114" s="21">
        <f t="shared" si="34"/>
        <v>13230.663440000091</v>
      </c>
      <c r="I114" s="21">
        <f t="shared" si="34"/>
        <v>13855.647560000001</v>
      </c>
      <c r="J114" s="21">
        <f t="shared" si="34"/>
        <v>14371.02439</v>
      </c>
      <c r="K114" s="21">
        <f t="shared" si="34"/>
        <v>14643.180876191784</v>
      </c>
      <c r="L114" s="21">
        <f t="shared" si="34"/>
        <v>15055.781540000002</v>
      </c>
      <c r="M114" s="21">
        <f t="shared" si="34"/>
        <v>16077.866959999999</v>
      </c>
      <c r="N114" s="21">
        <f t="shared" si="34"/>
        <v>23811.623341781058</v>
      </c>
      <c r="O114" s="21">
        <f t="shared" si="34"/>
        <v>25219.97942771875</v>
      </c>
    </row>
    <row r="115" spans="2:17" x14ac:dyDescent="0.25">
      <c r="C115" s="5" t="s">
        <v>264</v>
      </c>
      <c r="D115" s="6" t="s">
        <v>16</v>
      </c>
      <c r="E115" s="6" t="s">
        <v>271</v>
      </c>
      <c r="F115" s="8"/>
      <c r="G115" s="21">
        <f t="shared" ref="G115:O115" si="35">(+G82)/mil</f>
        <v>9508.8030399999989</v>
      </c>
      <c r="H115" s="21">
        <f t="shared" si="35"/>
        <v>13037.006840000035</v>
      </c>
      <c r="I115" s="21">
        <f t="shared" si="35"/>
        <v>12373.864640000022</v>
      </c>
      <c r="J115" s="21">
        <f t="shared" si="35"/>
        <v>10055.372529999995</v>
      </c>
      <c r="K115" s="21">
        <f t="shared" si="35"/>
        <v>10280.033615707964</v>
      </c>
      <c r="L115" s="21">
        <f t="shared" si="35"/>
        <v>8656.1137899999994</v>
      </c>
      <c r="M115" s="21">
        <f t="shared" si="35"/>
        <v>11105.799639999999</v>
      </c>
      <c r="N115" s="21">
        <f t="shared" si="35"/>
        <v>10798.725720699998</v>
      </c>
      <c r="O115" s="21">
        <f t="shared" si="35"/>
        <v>10948.152855852941</v>
      </c>
      <c r="P115" s="8"/>
      <c r="Q115" s="34"/>
    </row>
    <row r="116" spans="2:17" x14ac:dyDescent="0.25">
      <c r="C116" s="5" t="s">
        <v>265</v>
      </c>
      <c r="D116" s="6" t="s">
        <v>16</v>
      </c>
      <c r="E116" s="6" t="s">
        <v>271</v>
      </c>
      <c r="F116" s="8"/>
      <c r="G116" s="21">
        <f t="shared" ref="G116:O116" si="36">(+G83)/mil</f>
        <v>24333.718900000029</v>
      </c>
      <c r="H116" s="21">
        <f t="shared" si="36"/>
        <v>22349.432880000015</v>
      </c>
      <c r="I116" s="21">
        <f t="shared" si="36"/>
        <v>24488.202369999992</v>
      </c>
      <c r="J116" s="21">
        <f t="shared" si="36"/>
        <v>21295.422440000013</v>
      </c>
      <c r="K116" s="21">
        <f t="shared" si="36"/>
        <v>17095.440559999992</v>
      </c>
      <c r="L116" s="21">
        <f t="shared" si="36"/>
        <v>20426.011670000004</v>
      </c>
      <c r="M116" s="21">
        <f t="shared" si="36"/>
        <v>26184.359339999999</v>
      </c>
      <c r="N116" s="21">
        <f t="shared" si="36"/>
        <v>28156.363799999974</v>
      </c>
      <c r="O116" s="21">
        <f t="shared" si="36"/>
        <v>32527.246449999999</v>
      </c>
      <c r="P116" s="8"/>
      <c r="Q116" s="34"/>
    </row>
    <row r="117" spans="2:17" x14ac:dyDescent="0.25">
      <c r="C117" s="5" t="s">
        <v>266</v>
      </c>
      <c r="D117" s="6" t="s">
        <v>16</v>
      </c>
      <c r="E117" s="6" t="s">
        <v>271</v>
      </c>
      <c r="F117" s="8"/>
      <c r="G117" s="21">
        <f t="shared" ref="G117:O117" si="37">(+G84)/mil</f>
        <v>3055.5633400000024</v>
      </c>
      <c r="H117" s="21">
        <f t="shared" si="37"/>
        <v>3196.1801400000036</v>
      </c>
      <c r="I117" s="21">
        <f t="shared" si="37"/>
        <v>3689.6615299999999</v>
      </c>
      <c r="J117" s="21">
        <f t="shared" si="37"/>
        <v>3095.5815600000024</v>
      </c>
      <c r="K117" s="21">
        <f t="shared" si="37"/>
        <v>3184.6033299999967</v>
      </c>
      <c r="L117" s="21">
        <f t="shared" si="37"/>
        <v>3626.4810499999999</v>
      </c>
      <c r="M117" s="21">
        <f t="shared" si="37"/>
        <v>4050.3174600000002</v>
      </c>
      <c r="N117" s="21">
        <f t="shared" si="37"/>
        <v>4493.5514899999962</v>
      </c>
      <c r="O117" s="21">
        <f t="shared" si="37"/>
        <v>6112.0106999999989</v>
      </c>
      <c r="P117" s="8"/>
      <c r="Q117" s="34"/>
    </row>
    <row r="118" spans="2:17" x14ac:dyDescent="0.25">
      <c r="C118" s="5" t="s">
        <v>267</v>
      </c>
      <c r="D118" s="6" t="s">
        <v>16</v>
      </c>
      <c r="E118" s="6" t="s">
        <v>271</v>
      </c>
      <c r="F118" s="8"/>
      <c r="G118" s="21">
        <f t="shared" ref="G118:O118" si="38">(+G85)/mil</f>
        <v>68.319999999999993</v>
      </c>
      <c r="H118" s="21">
        <f t="shared" si="38"/>
        <v>148.64410000000001</v>
      </c>
      <c r="I118" s="21">
        <f t="shared" si="38"/>
        <v>223.96362000000002</v>
      </c>
      <c r="J118" s="21">
        <f t="shared" si="38"/>
        <v>159.78939</v>
      </c>
      <c r="K118" s="21">
        <f t="shared" si="38"/>
        <v>272.54192000000006</v>
      </c>
      <c r="L118" s="21">
        <f t="shared" si="38"/>
        <v>231.20761999999999</v>
      </c>
      <c r="M118" s="21">
        <f t="shared" si="38"/>
        <v>306.77929</v>
      </c>
      <c r="N118" s="21">
        <f t="shared" si="38"/>
        <v>277.24063999999896</v>
      </c>
      <c r="O118" s="21">
        <f t="shared" si="38"/>
        <v>451.81546000000003</v>
      </c>
      <c r="P118" s="8"/>
      <c r="Q118" s="34"/>
    </row>
    <row r="119" spans="2:17" x14ac:dyDescent="0.25">
      <c r="C119" s="5"/>
      <c r="F119" s="8"/>
      <c r="G119" s="21"/>
      <c r="H119" s="21"/>
      <c r="I119" s="21"/>
      <c r="J119" s="21"/>
      <c r="K119" s="21"/>
      <c r="L119" s="21"/>
      <c r="M119" s="21"/>
      <c r="N119" s="21"/>
      <c r="O119" s="21"/>
      <c r="P119" s="8"/>
      <c r="Q119" s="34"/>
    </row>
    <row r="120" spans="2:17" x14ac:dyDescent="0.25">
      <c r="C120" s="5" t="s">
        <v>18</v>
      </c>
      <c r="D120" s="6" t="s">
        <v>16</v>
      </c>
      <c r="E120" s="6" t="s">
        <v>271</v>
      </c>
      <c r="F120" s="8"/>
      <c r="G120" s="21">
        <f t="shared" ref="G120:O120" si="39">(+G87)/mil</f>
        <v>1727.98568</v>
      </c>
      <c r="H120" s="21">
        <f t="shared" si="39"/>
        <v>2792.7644499999924</v>
      </c>
      <c r="I120" s="21">
        <f t="shared" si="39"/>
        <v>2095.7465899999738</v>
      </c>
      <c r="J120" s="21">
        <f t="shared" si="39"/>
        <v>3643.1298700000129</v>
      </c>
      <c r="K120" s="21">
        <f t="shared" si="39"/>
        <v>6169.0902400000277</v>
      </c>
      <c r="L120" s="21">
        <f t="shared" si="39"/>
        <v>10020.921519999998</v>
      </c>
      <c r="M120" s="21">
        <f t="shared" si="39"/>
        <v>13564.701929999996</v>
      </c>
      <c r="N120" s="21">
        <f t="shared" si="39"/>
        <v>19067.433770000003</v>
      </c>
      <c r="O120" s="21">
        <f t="shared" si="39"/>
        <v>14425.43270999987</v>
      </c>
      <c r="P120" s="8"/>
      <c r="Q120" s="34"/>
    </row>
    <row r="121" spans="2:17" x14ac:dyDescent="0.25">
      <c r="C121" s="5" t="s">
        <v>19</v>
      </c>
      <c r="D121" s="6" t="s">
        <v>16</v>
      </c>
      <c r="E121" s="6" t="s">
        <v>271</v>
      </c>
      <c r="F121" s="8"/>
      <c r="G121" s="21">
        <f t="shared" ref="G121:O121" si="40">(+G88)/mil</f>
        <v>851.14409999999998</v>
      </c>
      <c r="H121" s="21">
        <f t="shared" si="40"/>
        <v>700.07786000000021</v>
      </c>
      <c r="I121" s="21">
        <f t="shared" si="40"/>
        <v>180.47669000000002</v>
      </c>
      <c r="J121" s="21">
        <f t="shared" si="40"/>
        <v>479.4402</v>
      </c>
      <c r="K121" s="21">
        <f t="shared" si="40"/>
        <v>1681.5006708543131</v>
      </c>
      <c r="L121" s="21">
        <f t="shared" si="40"/>
        <v>796.85483999999997</v>
      </c>
      <c r="M121" s="21">
        <f t="shared" si="40"/>
        <v>1532.6506000000002</v>
      </c>
      <c r="N121" s="21">
        <f t="shared" si="40"/>
        <v>940.45126879999998</v>
      </c>
      <c r="O121" s="21">
        <f t="shared" si="40"/>
        <v>944.32492228124988</v>
      </c>
      <c r="P121" s="8"/>
      <c r="Q121" s="34"/>
    </row>
    <row r="122" spans="2:17" x14ac:dyDescent="0.25">
      <c r="C122" s="5" t="s">
        <v>20</v>
      </c>
      <c r="D122" s="6" t="s">
        <v>16</v>
      </c>
      <c r="E122" s="6" t="s">
        <v>271</v>
      </c>
      <c r="F122" s="8"/>
      <c r="G122" s="21">
        <f t="shared" ref="G122:O122" si="41">(+G89)/mil</f>
        <v>348.36557999999997</v>
      </c>
      <c r="H122" s="21">
        <f t="shared" si="41"/>
        <v>1285.2424600000002</v>
      </c>
      <c r="I122" s="21">
        <f t="shared" si="41"/>
        <v>1208.6329900000003</v>
      </c>
      <c r="J122" s="21">
        <f t="shared" si="41"/>
        <v>927.47535999999991</v>
      </c>
      <c r="K122" s="21">
        <f t="shared" si="41"/>
        <v>2102.1568742920076</v>
      </c>
      <c r="L122" s="21">
        <f t="shared" si="41"/>
        <v>767.63902999999993</v>
      </c>
      <c r="M122" s="21">
        <f t="shared" si="41"/>
        <v>935.51637999999991</v>
      </c>
      <c r="N122" s="21">
        <f t="shared" si="41"/>
        <v>1016.0288292999999</v>
      </c>
      <c r="O122" s="21">
        <f t="shared" si="41"/>
        <v>911.31597414705902</v>
      </c>
      <c r="P122" s="8"/>
      <c r="Q122" s="34"/>
    </row>
    <row r="123" spans="2:17" x14ac:dyDescent="0.25">
      <c r="C123" s="5" t="s">
        <v>21</v>
      </c>
      <c r="D123" s="6" t="s">
        <v>16</v>
      </c>
      <c r="E123" s="6" t="s">
        <v>271</v>
      </c>
      <c r="F123" s="8"/>
      <c r="G123" s="21">
        <f t="shared" ref="G123:O123" si="42">(+G90)/mil</f>
        <v>576.50094000000001</v>
      </c>
      <c r="H123" s="21">
        <f t="shared" si="42"/>
        <v>884.53003999999976</v>
      </c>
      <c r="I123" s="21">
        <f t="shared" si="42"/>
        <v>411.20080000000002</v>
      </c>
      <c r="J123" s="21">
        <f t="shared" si="42"/>
        <v>158.27175</v>
      </c>
      <c r="K123" s="21">
        <f t="shared" si="42"/>
        <v>32.665060000000004</v>
      </c>
      <c r="L123" s="21">
        <f t="shared" si="42"/>
        <v>0</v>
      </c>
      <c r="M123" s="21">
        <f t="shared" si="42"/>
        <v>0</v>
      </c>
      <c r="N123" s="21">
        <f t="shared" si="42"/>
        <v>9.6769999999999995E-2</v>
      </c>
      <c r="O123" s="21">
        <f t="shared" si="42"/>
        <v>59.636660000000006</v>
      </c>
      <c r="P123" s="8"/>
      <c r="Q123" s="34"/>
    </row>
    <row r="124" spans="2:17" x14ac:dyDescent="0.25">
      <c r="C124" s="5" t="s">
        <v>22</v>
      </c>
      <c r="D124" s="6" t="s">
        <v>16</v>
      </c>
      <c r="E124" s="6" t="s">
        <v>271</v>
      </c>
      <c r="F124" s="8"/>
      <c r="G124" s="21">
        <f t="shared" ref="G124:O124" si="43">(+G91)/mil</f>
        <v>0</v>
      </c>
      <c r="H124" s="21">
        <f t="shared" si="43"/>
        <v>0</v>
      </c>
      <c r="I124" s="21">
        <f t="shared" si="43"/>
        <v>1548.81861</v>
      </c>
      <c r="J124" s="21">
        <f t="shared" si="43"/>
        <v>1076.0974199999987</v>
      </c>
      <c r="K124" s="21">
        <f t="shared" si="43"/>
        <v>1171.7161599999995</v>
      </c>
      <c r="L124" s="21">
        <f t="shared" si="43"/>
        <v>397.56668999999999</v>
      </c>
      <c r="M124" s="21">
        <f t="shared" si="43"/>
        <v>64.23</v>
      </c>
      <c r="N124" s="21">
        <f t="shared" si="43"/>
        <v>-20</v>
      </c>
      <c r="O124" s="21">
        <f t="shared" si="43"/>
        <v>25</v>
      </c>
      <c r="P124" s="8"/>
      <c r="Q124" s="34"/>
    </row>
    <row r="125" spans="2:17" x14ac:dyDescent="0.25">
      <c r="C125" s="5" t="s">
        <v>23</v>
      </c>
      <c r="D125" s="6" t="s">
        <v>16</v>
      </c>
      <c r="E125" s="6" t="s">
        <v>271</v>
      </c>
      <c r="F125" s="8"/>
      <c r="G125" s="21">
        <f t="shared" ref="G125:O125" si="44">(+G92)/mil</f>
        <v>0</v>
      </c>
      <c r="H125" s="21">
        <f t="shared" si="44"/>
        <v>0</v>
      </c>
      <c r="I125" s="21">
        <f t="shared" si="44"/>
        <v>521.75517583780538</v>
      </c>
      <c r="J125" s="21">
        <f t="shared" si="44"/>
        <v>324.85432109933521</v>
      </c>
      <c r="K125" s="21">
        <f t="shared" si="44"/>
        <v>326.20203295392929</v>
      </c>
      <c r="L125" s="21">
        <f t="shared" si="44"/>
        <v>23.746219999999994</v>
      </c>
      <c r="M125" s="21">
        <f t="shared" si="44"/>
        <v>103.11479000000004</v>
      </c>
      <c r="N125" s="21">
        <f t="shared" si="44"/>
        <v>-8.6126205810397547</v>
      </c>
      <c r="O125" s="21">
        <f t="shared" si="44"/>
        <v>0</v>
      </c>
      <c r="P125" s="8"/>
      <c r="Q125" s="34"/>
    </row>
    <row r="126" spans="2:17" x14ac:dyDescent="0.25">
      <c r="C126" s="5" t="s">
        <v>24</v>
      </c>
      <c r="D126" s="6" t="s">
        <v>16</v>
      </c>
      <c r="E126" s="6" t="s">
        <v>271</v>
      </c>
      <c r="F126" s="8"/>
      <c r="G126" s="21">
        <f t="shared" ref="G126:O126" si="45">(+G93)/mil</f>
        <v>0</v>
      </c>
      <c r="H126" s="21">
        <f t="shared" si="45"/>
        <v>0</v>
      </c>
      <c r="I126" s="21">
        <f t="shared" si="45"/>
        <v>490.67037657480307</v>
      </c>
      <c r="J126" s="21">
        <f t="shared" si="45"/>
        <v>598.62179000000015</v>
      </c>
      <c r="K126" s="21">
        <f t="shared" si="45"/>
        <v>723.89185000000043</v>
      </c>
      <c r="L126" s="21">
        <f t="shared" si="45"/>
        <v>783.22606000000019</v>
      </c>
      <c r="M126" s="21">
        <f t="shared" si="45"/>
        <v>494.22650999999996</v>
      </c>
      <c r="N126" s="21">
        <f t="shared" si="45"/>
        <v>470.21052000000003</v>
      </c>
      <c r="O126" s="21">
        <f t="shared" si="45"/>
        <v>427.52525000000009</v>
      </c>
      <c r="P126" s="8"/>
      <c r="Q126" s="34"/>
    </row>
    <row r="127" spans="2:17" x14ac:dyDescent="0.25">
      <c r="C127" s="5" t="s">
        <v>268</v>
      </c>
      <c r="D127" s="6" t="s">
        <v>16</v>
      </c>
      <c r="E127" s="6" t="s">
        <v>271</v>
      </c>
      <c r="F127" s="8"/>
      <c r="G127" s="21">
        <f t="shared" ref="G127:O127" si="46">(+G94)/mil</f>
        <v>100.86199999999999</v>
      </c>
      <c r="H127" s="21">
        <f t="shared" si="46"/>
        <v>179.8</v>
      </c>
      <c r="I127" s="21">
        <f t="shared" si="46"/>
        <v>412.8</v>
      </c>
      <c r="J127" s="21">
        <f t="shared" si="46"/>
        <v>320.39499000000001</v>
      </c>
      <c r="K127" s="21">
        <f t="shared" si="46"/>
        <v>382.55</v>
      </c>
      <c r="L127" s="21">
        <f t="shared" si="46"/>
        <v>380.08</v>
      </c>
      <c r="M127" s="21">
        <f t="shared" si="46"/>
        <v>184.55682000000002</v>
      </c>
      <c r="N127" s="21">
        <f t="shared" si="46"/>
        <v>411.76249999999999</v>
      </c>
      <c r="O127" s="21">
        <f t="shared" si="46"/>
        <v>575.99699999999996</v>
      </c>
      <c r="P127" s="8"/>
      <c r="Q127" s="34"/>
    </row>
    <row r="128" spans="2:17" x14ac:dyDescent="0.25">
      <c r="C128" s="5" t="s">
        <v>269</v>
      </c>
      <c r="D128" s="6" t="s">
        <v>16</v>
      </c>
      <c r="E128" s="6" t="s">
        <v>271</v>
      </c>
      <c r="F128" s="8"/>
      <c r="G128" s="21">
        <f t="shared" ref="G128:O128" si="47">(+G95)/mil</f>
        <v>0</v>
      </c>
      <c r="H128" s="21">
        <f t="shared" si="47"/>
        <v>0</v>
      </c>
      <c r="I128" s="21">
        <f t="shared" si="47"/>
        <v>398.85317999999995</v>
      </c>
      <c r="J128" s="21">
        <f t="shared" si="47"/>
        <v>420.18998999999997</v>
      </c>
      <c r="K128" s="21">
        <f t="shared" si="47"/>
        <v>1449.2908500000001</v>
      </c>
      <c r="L128" s="21">
        <f t="shared" si="47"/>
        <v>2066.7109999999998</v>
      </c>
      <c r="M128" s="21">
        <f t="shared" si="47"/>
        <v>2208.06185</v>
      </c>
      <c r="N128" s="21">
        <f t="shared" si="47"/>
        <v>2706.2494999999999</v>
      </c>
      <c r="O128" s="21">
        <f t="shared" si="47"/>
        <v>2597.7804999999998</v>
      </c>
      <c r="P128" s="8"/>
      <c r="Q128" s="34"/>
    </row>
    <row r="129" spans="2:27" x14ac:dyDescent="0.25">
      <c r="C129" s="5" t="s">
        <v>25</v>
      </c>
      <c r="D129" s="6" t="s">
        <v>16</v>
      </c>
      <c r="E129" s="6" t="s">
        <v>271</v>
      </c>
      <c r="F129" s="8"/>
      <c r="G129" s="21">
        <f t="shared" ref="G129:O129" si="48">(+G96)/mil</f>
        <v>170.20272</v>
      </c>
      <c r="H129" s="21">
        <f t="shared" si="48"/>
        <v>672.8</v>
      </c>
      <c r="I129" s="21">
        <f t="shared" si="48"/>
        <v>790.67517999999995</v>
      </c>
      <c r="J129" s="21">
        <f t="shared" si="48"/>
        <v>567.11318000000108</v>
      </c>
      <c r="K129" s="21">
        <f t="shared" si="48"/>
        <v>518.59433000000047</v>
      </c>
      <c r="L129" s="21">
        <f t="shared" si="48"/>
        <v>478.30297999999999</v>
      </c>
      <c r="M129" s="21">
        <f t="shared" si="48"/>
        <v>564.56471999999997</v>
      </c>
      <c r="N129" s="21">
        <f t="shared" si="48"/>
        <v>771.85799999999995</v>
      </c>
      <c r="O129" s="21">
        <f t="shared" si="48"/>
        <v>685.06018999999992</v>
      </c>
      <c r="P129" s="8"/>
      <c r="Q129" s="34"/>
    </row>
    <row r="130" spans="2:27" x14ac:dyDescent="0.25">
      <c r="C130" s="5" t="s">
        <v>26</v>
      </c>
      <c r="D130" s="6" t="s">
        <v>16</v>
      </c>
      <c r="E130" s="6" t="s">
        <v>271</v>
      </c>
      <c r="F130" s="8"/>
      <c r="G130" s="21">
        <f t="shared" ref="G130:O130" si="49">(+G97)/mil</f>
        <v>0</v>
      </c>
      <c r="H130" s="21">
        <f t="shared" si="49"/>
        <v>0</v>
      </c>
      <c r="I130" s="21">
        <f t="shared" si="49"/>
        <v>254.505</v>
      </c>
      <c r="J130" s="21">
        <f t="shared" si="49"/>
        <v>430.72719999999964</v>
      </c>
      <c r="K130" s="21">
        <f t="shared" si="49"/>
        <v>357.06738999999993</v>
      </c>
      <c r="L130" s="21">
        <f t="shared" si="49"/>
        <v>376.53189000000003</v>
      </c>
      <c r="M130" s="21">
        <f t="shared" si="49"/>
        <v>284.42771999999997</v>
      </c>
      <c r="N130" s="21">
        <f t="shared" si="49"/>
        <v>732.16</v>
      </c>
      <c r="O130" s="21">
        <f t="shared" si="49"/>
        <v>338.65800000000002</v>
      </c>
      <c r="P130" s="8"/>
      <c r="Q130" s="34"/>
    </row>
    <row r="131" spans="2:27" x14ac:dyDescent="0.25">
      <c r="C131" s="5" t="s">
        <v>27</v>
      </c>
      <c r="D131" s="6" t="s">
        <v>16</v>
      </c>
      <c r="E131" s="6" t="s">
        <v>271</v>
      </c>
      <c r="F131" s="8"/>
      <c r="G131" s="21">
        <f t="shared" ref="G131:O131" si="50">(+G98)/mil</f>
        <v>242.65611999999999</v>
      </c>
      <c r="H131" s="21">
        <f t="shared" si="50"/>
        <v>228.33137999999988</v>
      </c>
      <c r="I131" s="21">
        <f t="shared" si="50"/>
        <v>131.26455999999999</v>
      </c>
      <c r="J131" s="21">
        <f t="shared" si="50"/>
        <v>310.53903999999994</v>
      </c>
      <c r="K131" s="21">
        <f t="shared" si="50"/>
        <v>222.43460000000002</v>
      </c>
      <c r="L131" s="21">
        <f t="shared" si="50"/>
        <v>187.52500000000001</v>
      </c>
      <c r="M131" s="21">
        <f t="shared" si="50"/>
        <v>114.821</v>
      </c>
      <c r="N131" s="21">
        <f t="shared" si="50"/>
        <v>139.96460000000002</v>
      </c>
      <c r="O131" s="21">
        <f t="shared" si="50"/>
        <v>162.374</v>
      </c>
      <c r="P131" s="8"/>
      <c r="Q131" s="34"/>
    </row>
    <row r="132" spans="2:27" x14ac:dyDescent="0.25">
      <c r="C132" s="5" t="s">
        <v>28</v>
      </c>
      <c r="D132" s="6" t="s">
        <v>16</v>
      </c>
      <c r="E132" s="6" t="s">
        <v>271</v>
      </c>
      <c r="F132" s="8"/>
      <c r="G132" s="21">
        <f t="shared" ref="G132:O132" si="51">(+G99)/mil</f>
        <v>0</v>
      </c>
      <c r="H132" s="21">
        <f t="shared" si="51"/>
        <v>0</v>
      </c>
      <c r="I132" s="21">
        <f t="shared" si="51"/>
        <v>0</v>
      </c>
      <c r="J132" s="21">
        <f t="shared" si="51"/>
        <v>479.21968624595848</v>
      </c>
      <c r="K132" s="21">
        <f t="shared" si="51"/>
        <v>459.48364000000186</v>
      </c>
      <c r="L132" s="21">
        <f t="shared" si="51"/>
        <v>511.26893000000001</v>
      </c>
      <c r="M132" s="21">
        <f t="shared" si="51"/>
        <v>596.61363000000006</v>
      </c>
      <c r="N132" s="21">
        <f t="shared" si="51"/>
        <v>605.76498000000004</v>
      </c>
      <c r="O132" s="21">
        <f t="shared" si="51"/>
        <v>669.06</v>
      </c>
      <c r="P132" s="8"/>
      <c r="Q132" s="34"/>
    </row>
    <row r="133" spans="2:27" x14ac:dyDescent="0.25">
      <c r="C133" s="5" t="s">
        <v>270</v>
      </c>
      <c r="D133" s="6" t="s">
        <v>16</v>
      </c>
      <c r="E133" s="6" t="s">
        <v>271</v>
      </c>
      <c r="F133" s="8"/>
      <c r="G133" s="21">
        <f t="shared" ref="G133:O133" si="52">(+G100)/mil</f>
        <v>0</v>
      </c>
      <c r="H133" s="21">
        <f t="shared" si="52"/>
        <v>0</v>
      </c>
      <c r="I133" s="21">
        <f t="shared" si="52"/>
        <v>0</v>
      </c>
      <c r="J133" s="21">
        <f t="shared" si="52"/>
        <v>644.38369565217397</v>
      </c>
      <c r="K133" s="21">
        <f t="shared" si="52"/>
        <v>1036.25</v>
      </c>
      <c r="L133" s="21">
        <f t="shared" si="52"/>
        <v>1421.8720000000001</v>
      </c>
      <c r="M133" s="21">
        <f t="shared" si="52"/>
        <v>2398.4479999999999</v>
      </c>
      <c r="N133" s="21">
        <f t="shared" si="52"/>
        <v>4426.2550999999994</v>
      </c>
      <c r="O133" s="21">
        <f t="shared" si="52"/>
        <v>4625.8670000000002</v>
      </c>
    </row>
    <row r="134" spans="2:27" ht="13" x14ac:dyDescent="0.3">
      <c r="B134" s="7"/>
      <c r="C134" s="5" t="s">
        <v>29</v>
      </c>
      <c r="D134" s="6" t="s">
        <v>16</v>
      </c>
      <c r="E134" s="6" t="s">
        <v>271</v>
      </c>
      <c r="F134" s="8"/>
      <c r="G134" s="21">
        <f t="shared" ref="G134:O134" si="53">(+G101)/mil</f>
        <v>281.19412</v>
      </c>
      <c r="H134" s="21">
        <f t="shared" si="53"/>
        <v>317.84986999997506</v>
      </c>
      <c r="I134" s="21">
        <f t="shared" si="53"/>
        <v>275.31229999999869</v>
      </c>
      <c r="J134" s="21">
        <f t="shared" si="53"/>
        <v>311.21622999999983</v>
      </c>
      <c r="K134" s="21">
        <f t="shared" si="53"/>
        <v>245.8928700000001</v>
      </c>
      <c r="L134" s="21">
        <f t="shared" si="53"/>
        <v>535.41712999999993</v>
      </c>
      <c r="M134" s="21">
        <f t="shared" si="53"/>
        <v>756.77638000000002</v>
      </c>
      <c r="N134" s="21">
        <f t="shared" si="53"/>
        <v>1170.2197900000003</v>
      </c>
      <c r="O134" s="21">
        <f t="shared" si="53"/>
        <v>647.80032800000004</v>
      </c>
    </row>
    <row r="135" spans="2:27" ht="13.5" thickBot="1" x14ac:dyDescent="0.35">
      <c r="C135" s="72" t="s">
        <v>109</v>
      </c>
      <c r="D135" s="75" t="s">
        <v>16</v>
      </c>
      <c r="E135" s="75" t="s">
        <v>271</v>
      </c>
      <c r="F135" s="8"/>
      <c r="G135" s="165">
        <f t="shared" ref="G135:O135" si="54">+SUM(G105:G134)</f>
        <v>92334.411800000045</v>
      </c>
      <c r="H135" s="165">
        <f t="shared" si="54"/>
        <v>92440.275430000111</v>
      </c>
      <c r="I135" s="165">
        <f t="shared" si="54"/>
        <v>104696.97857241261</v>
      </c>
      <c r="J135" s="165">
        <f t="shared" si="54"/>
        <v>100647.57176299722</v>
      </c>
      <c r="K135" s="165">
        <f t="shared" si="54"/>
        <v>113278.09085000007</v>
      </c>
      <c r="L135" s="165">
        <f t="shared" si="54"/>
        <v>133967.81422</v>
      </c>
      <c r="M135" s="165">
        <f t="shared" si="54"/>
        <v>160671.35991999996</v>
      </c>
      <c r="N135" s="165">
        <f t="shared" si="54"/>
        <v>189996.79185000007</v>
      </c>
      <c r="O135" s="165">
        <f t="shared" si="54"/>
        <v>190743.88802799987</v>
      </c>
    </row>
    <row r="136" spans="2:27" ht="13" x14ac:dyDescent="0.3">
      <c r="C136" s="156"/>
      <c r="D136" s="159"/>
      <c r="E136" s="159"/>
      <c r="F136" s="8"/>
      <c r="G136" s="167">
        <f t="shared" ref="G136:O136" si="55">+G135-G250-G252</f>
        <v>83186.001060000053</v>
      </c>
      <c r="H136" s="167">
        <f t="shared" si="55"/>
        <v>84655.38203000011</v>
      </c>
      <c r="I136" s="167">
        <f t="shared" si="55"/>
        <v>93687.46690241262</v>
      </c>
      <c r="J136" s="167">
        <f t="shared" si="55"/>
        <v>92252.829212997225</v>
      </c>
      <c r="K136" s="167">
        <f t="shared" si="55"/>
        <v>103936.86988000007</v>
      </c>
      <c r="L136" s="167">
        <f t="shared" si="55"/>
        <v>124064.67653000001</v>
      </c>
      <c r="M136" s="167">
        <f t="shared" si="55"/>
        <v>150025.81964999996</v>
      </c>
      <c r="N136" s="167">
        <f t="shared" si="55"/>
        <v>175880.08854000008</v>
      </c>
      <c r="O136" s="167">
        <f t="shared" si="55"/>
        <v>174176.48750799987</v>
      </c>
    </row>
    <row r="137" spans="2:27" ht="13" x14ac:dyDescent="0.3">
      <c r="C137" s="156"/>
      <c r="D137" s="159"/>
      <c r="E137" s="159"/>
      <c r="F137" s="8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2:27" ht="13" x14ac:dyDescent="0.3">
      <c r="B138" s="3" t="s">
        <v>52</v>
      </c>
      <c r="C138" s="1"/>
      <c r="D138" s="2"/>
      <c r="E138" s="2"/>
      <c r="F138" s="8"/>
      <c r="G138" s="146"/>
      <c r="H138" s="146"/>
      <c r="I138" s="146"/>
      <c r="J138" s="146"/>
      <c r="K138" s="146"/>
      <c r="L138" s="146"/>
      <c r="M138" s="146"/>
      <c r="N138" s="146"/>
      <c r="O138" s="146"/>
    </row>
    <row r="139" spans="2:27" s="28" customFormat="1" ht="13" x14ac:dyDescent="0.3">
      <c r="B139" s="57"/>
      <c r="D139" s="74"/>
      <c r="E139" s="74"/>
      <c r="F139" s="8"/>
      <c r="G139" s="147"/>
      <c r="H139" s="147"/>
      <c r="I139" s="147"/>
      <c r="J139" s="147"/>
      <c r="K139" s="147"/>
      <c r="L139" s="147"/>
      <c r="M139" s="147"/>
      <c r="N139" s="147"/>
      <c r="O139" s="147"/>
      <c r="Q139" s="228"/>
    </row>
    <row r="140" spans="2:27" s="188" customFormat="1" ht="13" x14ac:dyDescent="0.3">
      <c r="B140" s="184" t="s">
        <v>246</v>
      </c>
      <c r="D140" s="206"/>
      <c r="E140" s="206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</row>
    <row r="141" spans="2:27" s="188" customFormat="1" x14ac:dyDescent="0.25">
      <c r="C141" s="207" t="s">
        <v>11</v>
      </c>
      <c r="D141" s="206" t="s">
        <v>16</v>
      </c>
      <c r="E141" s="206" t="s">
        <v>272</v>
      </c>
      <c r="F141" s="205"/>
      <c r="G141" s="208">
        <v>13747957.46302693</v>
      </c>
      <c r="H141" s="208">
        <v>13557546.868134409</v>
      </c>
      <c r="I141" s="208">
        <v>15909249.198613321</v>
      </c>
      <c r="J141" s="208">
        <v>14099390.272180986</v>
      </c>
      <c r="K141" s="208">
        <v>14258116.917505523</v>
      </c>
      <c r="L141" s="209">
        <v>11944685.863066312</v>
      </c>
      <c r="M141" s="209">
        <v>12204188.287683951</v>
      </c>
      <c r="N141" s="209">
        <v>12268098.469847441</v>
      </c>
      <c r="O141" s="209">
        <v>11614937.609720707</v>
      </c>
    </row>
    <row r="142" spans="2:27" s="188" customFormat="1" x14ac:dyDescent="0.25">
      <c r="C142" s="207" t="s">
        <v>247</v>
      </c>
      <c r="D142" s="206" t="s">
        <v>16</v>
      </c>
      <c r="E142" s="6" t="s">
        <v>302</v>
      </c>
      <c r="F142" s="205"/>
      <c r="G142" s="208">
        <v>58994</v>
      </c>
      <c r="H142" s="208">
        <v>60295</v>
      </c>
      <c r="I142" s="208">
        <v>63970</v>
      </c>
      <c r="J142" s="208">
        <v>64796</v>
      </c>
      <c r="K142" s="208">
        <v>113205</v>
      </c>
      <c r="L142" s="209">
        <v>137907</v>
      </c>
      <c r="M142" s="209">
        <v>146578</v>
      </c>
      <c r="N142" s="209">
        <v>134141</v>
      </c>
      <c r="O142" s="209">
        <v>112417</v>
      </c>
      <c r="Z142" s="244"/>
      <c r="AA142" s="244"/>
    </row>
    <row r="143" spans="2:27" s="188" customFormat="1" x14ac:dyDescent="0.25">
      <c r="C143" s="207" t="s">
        <v>248</v>
      </c>
      <c r="D143" s="206" t="s">
        <v>16</v>
      </c>
      <c r="E143" s="6" t="s">
        <v>302</v>
      </c>
      <c r="F143" s="205"/>
      <c r="G143" s="208">
        <v>60968</v>
      </c>
      <c r="H143" s="208">
        <v>59251</v>
      </c>
      <c r="I143" s="208">
        <v>70839</v>
      </c>
      <c r="J143" s="208">
        <v>79623</v>
      </c>
      <c r="K143" s="208">
        <v>124346</v>
      </c>
      <c r="L143" s="209">
        <v>149371</v>
      </c>
      <c r="M143" s="209">
        <v>168292</v>
      </c>
      <c r="N143" s="209">
        <v>192286</v>
      </c>
      <c r="O143" s="209">
        <v>197098</v>
      </c>
    </row>
    <row r="144" spans="2:27" s="188" customFormat="1" x14ac:dyDescent="0.25">
      <c r="C144" s="207" t="s">
        <v>249</v>
      </c>
      <c r="D144" s="206" t="s">
        <v>16</v>
      </c>
      <c r="E144" s="6" t="s">
        <v>302</v>
      </c>
      <c r="F144" s="205"/>
      <c r="G144" s="208">
        <v>20080</v>
      </c>
      <c r="H144" s="208">
        <v>15015</v>
      </c>
      <c r="I144" s="208">
        <v>12621</v>
      </c>
      <c r="J144" s="208">
        <v>14433</v>
      </c>
      <c r="K144" s="208">
        <v>26178</v>
      </c>
      <c r="L144" s="209">
        <v>36489</v>
      </c>
      <c r="M144" s="209">
        <v>33056</v>
      </c>
      <c r="N144" s="209">
        <v>32845</v>
      </c>
      <c r="O144" s="209">
        <v>23027</v>
      </c>
    </row>
    <row r="145" spans="2:19" s="188" customFormat="1" x14ac:dyDescent="0.25">
      <c r="C145" s="207" t="s">
        <v>250</v>
      </c>
      <c r="D145" s="206" t="s">
        <v>16</v>
      </c>
      <c r="E145" s="6" t="s">
        <v>302</v>
      </c>
      <c r="F145" s="205"/>
      <c r="G145" s="208">
        <v>36656</v>
      </c>
      <c r="H145" s="208">
        <v>18001</v>
      </c>
      <c r="I145" s="208">
        <v>32893</v>
      </c>
      <c r="J145" s="208">
        <v>27793</v>
      </c>
      <c r="K145" s="208">
        <v>55695</v>
      </c>
      <c r="L145" s="209">
        <v>99175</v>
      </c>
      <c r="M145" s="209">
        <v>104272</v>
      </c>
      <c r="N145" s="209">
        <v>117768</v>
      </c>
      <c r="O145" s="209">
        <v>107227</v>
      </c>
      <c r="S145" s="5"/>
    </row>
    <row r="146" spans="2:19" s="188" customFormat="1" x14ac:dyDescent="0.25">
      <c r="C146" s="207" t="s">
        <v>251</v>
      </c>
      <c r="D146" s="206" t="s">
        <v>16</v>
      </c>
      <c r="E146" s="6" t="s">
        <v>303</v>
      </c>
      <c r="F146" s="205"/>
      <c r="G146" s="208">
        <v>2990</v>
      </c>
      <c r="H146" s="208">
        <v>6703</v>
      </c>
      <c r="I146" s="208">
        <v>3666</v>
      </c>
      <c r="J146" s="208">
        <v>6682</v>
      </c>
      <c r="K146" s="208">
        <v>7126</v>
      </c>
      <c r="L146" s="209">
        <v>23875</v>
      </c>
      <c r="M146" s="209">
        <v>28554</v>
      </c>
      <c r="N146" s="209">
        <v>29020</v>
      </c>
      <c r="O146" s="209">
        <v>24390</v>
      </c>
      <c r="S146" s="5"/>
    </row>
    <row r="147" spans="2:19" s="188" customFormat="1" x14ac:dyDescent="0.25">
      <c r="C147" s="207" t="s">
        <v>252</v>
      </c>
      <c r="D147" s="206" t="s">
        <v>16</v>
      </c>
      <c r="E147" s="6" t="s">
        <v>303</v>
      </c>
      <c r="F147" s="205"/>
      <c r="G147" s="208">
        <v>2272</v>
      </c>
      <c r="H147" s="208">
        <v>4467</v>
      </c>
      <c r="I147" s="208">
        <v>4327</v>
      </c>
      <c r="J147" s="208">
        <v>8764</v>
      </c>
      <c r="K147" s="208">
        <v>4425</v>
      </c>
      <c r="L147" s="209">
        <v>19268</v>
      </c>
      <c r="M147" s="209">
        <v>31485</v>
      </c>
      <c r="N147" s="209">
        <v>30044</v>
      </c>
      <c r="O147" s="209">
        <v>26646</v>
      </c>
      <c r="S147" s="5"/>
    </row>
    <row r="148" spans="2:19" s="188" customFormat="1" x14ac:dyDescent="0.25">
      <c r="C148" s="207" t="s">
        <v>253</v>
      </c>
      <c r="D148" s="206" t="s">
        <v>16</v>
      </c>
      <c r="E148" s="6" t="s">
        <v>303</v>
      </c>
      <c r="F148" s="205"/>
      <c r="G148" s="208">
        <v>1454</v>
      </c>
      <c r="H148" s="208">
        <v>1076</v>
      </c>
      <c r="I148" s="208">
        <v>407</v>
      </c>
      <c r="J148" s="208">
        <v>68</v>
      </c>
      <c r="K148" s="208">
        <v>415</v>
      </c>
      <c r="L148" s="209">
        <v>2305</v>
      </c>
      <c r="M148" s="209">
        <v>2444</v>
      </c>
      <c r="N148" s="209">
        <v>1208</v>
      </c>
      <c r="O148" s="209">
        <v>1165</v>
      </c>
      <c r="S148" s="5"/>
    </row>
    <row r="149" spans="2:19" s="188" customFormat="1" x14ac:dyDescent="0.25">
      <c r="C149" s="207" t="s">
        <v>254</v>
      </c>
      <c r="D149" s="206" t="s">
        <v>16</v>
      </c>
      <c r="E149" s="6" t="s">
        <v>303</v>
      </c>
      <c r="F149" s="205"/>
      <c r="G149" s="208">
        <v>7238</v>
      </c>
      <c r="H149" s="208">
        <v>4118</v>
      </c>
      <c r="I149" s="208">
        <v>1362</v>
      </c>
      <c r="J149" s="208">
        <v>914</v>
      </c>
      <c r="K149" s="208">
        <v>2479</v>
      </c>
      <c r="L149" s="209">
        <v>14803</v>
      </c>
      <c r="M149" s="209">
        <v>13249</v>
      </c>
      <c r="N149" s="209">
        <v>10771</v>
      </c>
      <c r="O149" s="209">
        <v>3658</v>
      </c>
      <c r="S149" s="5"/>
    </row>
    <row r="150" spans="2:19" s="188" customFormat="1" x14ac:dyDescent="0.25">
      <c r="C150" s="207" t="s">
        <v>255</v>
      </c>
      <c r="D150" s="206" t="s">
        <v>16</v>
      </c>
      <c r="E150" s="6" t="s">
        <v>302</v>
      </c>
      <c r="F150" s="205"/>
      <c r="G150" s="208">
        <v>40650</v>
      </c>
      <c r="H150" s="208">
        <v>26398</v>
      </c>
      <c r="I150" s="208">
        <v>32216</v>
      </c>
      <c r="J150" s="208">
        <v>29995</v>
      </c>
      <c r="K150" s="208">
        <v>8356</v>
      </c>
      <c r="L150" s="209">
        <v>4471</v>
      </c>
      <c r="M150" s="209">
        <v>1965</v>
      </c>
      <c r="N150" s="209">
        <v>1154</v>
      </c>
      <c r="O150" s="209">
        <v>464</v>
      </c>
    </row>
    <row r="151" spans="2:19" s="188" customFormat="1" x14ac:dyDescent="0.25">
      <c r="C151" s="207" t="s">
        <v>256</v>
      </c>
      <c r="D151" s="206" t="s">
        <v>16</v>
      </c>
      <c r="E151" s="6" t="s">
        <v>302</v>
      </c>
      <c r="F151" s="205"/>
      <c r="G151" s="208">
        <v>41468</v>
      </c>
      <c r="H151" s="208">
        <v>26868</v>
      </c>
      <c r="I151" s="208">
        <v>45099</v>
      </c>
      <c r="J151" s="208">
        <v>32041</v>
      </c>
      <c r="K151" s="208">
        <v>7972</v>
      </c>
      <c r="L151" s="209">
        <v>3117</v>
      </c>
      <c r="M151" s="209">
        <v>1630</v>
      </c>
      <c r="N151" s="209">
        <v>1315</v>
      </c>
      <c r="O151" s="209">
        <v>524</v>
      </c>
      <c r="S151" s="5"/>
    </row>
    <row r="152" spans="2:19" s="188" customFormat="1" x14ac:dyDescent="0.25">
      <c r="C152" s="207" t="s">
        <v>257</v>
      </c>
      <c r="D152" s="206" t="s">
        <v>16</v>
      </c>
      <c r="E152" s="6" t="s">
        <v>302</v>
      </c>
      <c r="F152" s="205"/>
      <c r="G152" s="208">
        <v>14036</v>
      </c>
      <c r="H152" s="208">
        <v>8133</v>
      </c>
      <c r="I152" s="208">
        <v>9137</v>
      </c>
      <c r="J152" s="208">
        <v>12055</v>
      </c>
      <c r="K152" s="208">
        <v>7737</v>
      </c>
      <c r="L152" s="208">
        <v>3599</v>
      </c>
      <c r="M152" s="208">
        <v>740</v>
      </c>
      <c r="N152" s="208">
        <v>103</v>
      </c>
      <c r="O152" s="208">
        <v>68</v>
      </c>
      <c r="S152" s="5"/>
    </row>
    <row r="153" spans="2:19" s="188" customFormat="1" x14ac:dyDescent="0.25">
      <c r="C153" s="207" t="s">
        <v>258</v>
      </c>
      <c r="D153" s="206" t="s">
        <v>16</v>
      </c>
      <c r="E153" s="6" t="s">
        <v>302</v>
      </c>
      <c r="F153" s="205"/>
      <c r="G153" s="208">
        <v>15498</v>
      </c>
      <c r="H153" s="208">
        <v>7171</v>
      </c>
      <c r="I153" s="208">
        <v>13991</v>
      </c>
      <c r="J153" s="208">
        <v>12908</v>
      </c>
      <c r="K153" s="208">
        <v>7095</v>
      </c>
      <c r="L153" s="208">
        <v>3504</v>
      </c>
      <c r="M153" s="208">
        <v>656</v>
      </c>
      <c r="N153" s="208">
        <v>81</v>
      </c>
      <c r="O153" s="208">
        <v>44</v>
      </c>
      <c r="S153" s="5"/>
    </row>
    <row r="154" spans="2:19" s="188" customFormat="1" x14ac:dyDescent="0.25">
      <c r="C154" s="207" t="s">
        <v>259</v>
      </c>
      <c r="D154" s="206" t="s">
        <v>16</v>
      </c>
      <c r="E154" s="6" t="s">
        <v>303</v>
      </c>
      <c r="F154" s="205"/>
      <c r="G154" s="208">
        <v>1732</v>
      </c>
      <c r="H154" s="208">
        <v>4600</v>
      </c>
      <c r="I154" s="208">
        <v>2351</v>
      </c>
      <c r="J154" s="208">
        <v>8349</v>
      </c>
      <c r="K154" s="208">
        <v>3540</v>
      </c>
      <c r="L154" s="208">
        <v>298</v>
      </c>
      <c r="M154" s="208">
        <v>25</v>
      </c>
      <c r="N154" s="208">
        <v>6</v>
      </c>
      <c r="O154" s="208">
        <v>13</v>
      </c>
      <c r="S154" s="5"/>
    </row>
    <row r="155" spans="2:19" s="188" customFormat="1" ht="13" x14ac:dyDescent="0.3">
      <c r="B155" s="184"/>
      <c r="C155" s="207" t="s">
        <v>260</v>
      </c>
      <c r="D155" s="206" t="s">
        <v>16</v>
      </c>
      <c r="E155" s="6" t="s">
        <v>303</v>
      </c>
      <c r="F155" s="205"/>
      <c r="G155" s="208">
        <v>1198</v>
      </c>
      <c r="H155" s="208">
        <v>2587</v>
      </c>
      <c r="I155" s="208">
        <v>3098</v>
      </c>
      <c r="J155" s="208">
        <v>5366</v>
      </c>
      <c r="K155" s="208">
        <v>2000</v>
      </c>
      <c r="L155" s="208">
        <v>196</v>
      </c>
      <c r="M155" s="208">
        <v>0</v>
      </c>
      <c r="N155" s="208">
        <v>7</v>
      </c>
      <c r="O155" s="208">
        <v>32</v>
      </c>
      <c r="S155" s="5"/>
    </row>
    <row r="156" spans="2:19" s="188" customFormat="1" ht="13" x14ac:dyDescent="0.3">
      <c r="B156" s="184"/>
      <c r="C156" s="207" t="s">
        <v>261</v>
      </c>
      <c r="D156" s="206" t="s">
        <v>16</v>
      </c>
      <c r="E156" s="6" t="s">
        <v>303</v>
      </c>
      <c r="F156" s="205"/>
      <c r="G156" s="208">
        <v>938</v>
      </c>
      <c r="H156" s="208">
        <v>940</v>
      </c>
      <c r="I156" s="208">
        <v>80</v>
      </c>
      <c r="J156" s="208">
        <v>22</v>
      </c>
      <c r="K156" s="208">
        <v>118</v>
      </c>
      <c r="L156" s="208">
        <v>23</v>
      </c>
      <c r="M156" s="208">
        <v>10</v>
      </c>
      <c r="N156" s="208">
        <v>0</v>
      </c>
      <c r="O156" s="208">
        <v>0</v>
      </c>
      <c r="S156" s="5"/>
    </row>
    <row r="157" spans="2:19" s="188" customFormat="1" ht="13" x14ac:dyDescent="0.3">
      <c r="B157" s="184"/>
      <c r="C157" s="207" t="s">
        <v>262</v>
      </c>
      <c r="D157" s="206" t="s">
        <v>16</v>
      </c>
      <c r="E157" s="6" t="s">
        <v>303</v>
      </c>
      <c r="F157" s="205"/>
      <c r="G157" s="208">
        <v>2972</v>
      </c>
      <c r="H157" s="208">
        <v>1699</v>
      </c>
      <c r="I157" s="208">
        <v>893</v>
      </c>
      <c r="J157" s="208">
        <v>472</v>
      </c>
      <c r="K157" s="208">
        <v>450</v>
      </c>
      <c r="L157" s="208">
        <v>251</v>
      </c>
      <c r="M157" s="208">
        <v>0</v>
      </c>
      <c r="N157" s="208">
        <v>0</v>
      </c>
      <c r="O157" s="208">
        <v>0</v>
      </c>
      <c r="S157" s="5"/>
    </row>
    <row r="158" spans="2:19" s="188" customFormat="1" ht="13" x14ac:dyDescent="0.3">
      <c r="B158" s="184"/>
      <c r="C158" s="207" t="s">
        <v>263</v>
      </c>
      <c r="D158" s="206" t="s">
        <v>16</v>
      </c>
      <c r="E158" s="206" t="s">
        <v>273</v>
      </c>
      <c r="F158" s="205"/>
      <c r="G158" s="208">
        <v>1465601.2120000001</v>
      </c>
      <c r="H158" s="208">
        <v>1797593.1399999987</v>
      </c>
      <c r="I158" s="208">
        <v>1804960.6480000014</v>
      </c>
      <c r="J158" s="208">
        <v>1824534.0829999999</v>
      </c>
      <c r="K158" s="208">
        <v>1907340.6519999998</v>
      </c>
      <c r="L158" s="208">
        <v>1798833.4905000003</v>
      </c>
      <c r="M158" s="208">
        <v>1876061.1407191604</v>
      </c>
      <c r="N158" s="208">
        <v>2310898.7121924129</v>
      </c>
      <c r="O158" s="208">
        <v>2225325.8676652331</v>
      </c>
      <c r="S158" s="5"/>
    </row>
    <row r="159" spans="2:19" s="188" customFormat="1" ht="13" x14ac:dyDescent="0.3">
      <c r="B159" s="184"/>
      <c r="C159" s="207" t="s">
        <v>264</v>
      </c>
      <c r="D159" s="206" t="s">
        <v>16</v>
      </c>
      <c r="E159" s="206" t="s">
        <v>273</v>
      </c>
      <c r="F159" s="205"/>
      <c r="G159" s="208">
        <v>362214.92440000002</v>
      </c>
      <c r="H159" s="208">
        <v>438340.109</v>
      </c>
      <c r="I159" s="208">
        <v>439715.23599999986</v>
      </c>
      <c r="J159" s="208">
        <v>344775.973</v>
      </c>
      <c r="K159" s="208">
        <v>341830.41299999994</v>
      </c>
      <c r="L159" s="208">
        <v>290741.87409999996</v>
      </c>
      <c r="M159" s="208">
        <v>334505.21000000002</v>
      </c>
      <c r="N159" s="208">
        <v>319561.30325251998</v>
      </c>
      <c r="O159" s="208">
        <v>313678.3297</v>
      </c>
      <c r="S159" s="5"/>
    </row>
    <row r="160" spans="2:19" s="188" customFormat="1" ht="13" x14ac:dyDescent="0.3">
      <c r="B160" s="184"/>
      <c r="C160" s="207" t="s">
        <v>265</v>
      </c>
      <c r="D160" s="206" t="s">
        <v>16</v>
      </c>
      <c r="E160" s="206" t="s">
        <v>273</v>
      </c>
      <c r="F160" s="205"/>
      <c r="G160" s="208">
        <v>6075234.8499999996</v>
      </c>
      <c r="H160" s="208">
        <v>6046631.909</v>
      </c>
      <c r="I160" s="208">
        <v>6322716.2230000012</v>
      </c>
      <c r="J160" s="208">
        <v>5430503.3540000003</v>
      </c>
      <c r="K160" s="208">
        <v>4451496.4049999993</v>
      </c>
      <c r="L160" s="208">
        <v>4971128.49</v>
      </c>
      <c r="M160" s="208">
        <v>5831063.3130000001</v>
      </c>
      <c r="N160" s="208">
        <v>5623550.7929999968</v>
      </c>
      <c r="O160" s="208">
        <v>6011189.2375000026</v>
      </c>
      <c r="S160" s="5"/>
    </row>
    <row r="161" spans="2:19" s="188" customFormat="1" ht="13" x14ac:dyDescent="0.3">
      <c r="B161" s="184"/>
      <c r="C161" s="207" t="s">
        <v>266</v>
      </c>
      <c r="D161" s="206" t="s">
        <v>16</v>
      </c>
      <c r="E161" s="206" t="s">
        <v>273</v>
      </c>
      <c r="F161" s="205"/>
      <c r="G161" s="208">
        <v>2472360.1840000004</v>
      </c>
      <c r="H161" s="208">
        <v>2702007.5930000003</v>
      </c>
      <c r="I161" s="208">
        <v>3206439.7750000004</v>
      </c>
      <c r="J161" s="208">
        <v>2819363.7940000002</v>
      </c>
      <c r="K161" s="208">
        <v>2715162.8600000008</v>
      </c>
      <c r="L161" s="208">
        <v>2981320.5599999996</v>
      </c>
      <c r="M161" s="208">
        <v>2963849.9429999967</v>
      </c>
      <c r="N161" s="208">
        <v>2702002.0014927979</v>
      </c>
      <c r="O161" s="208">
        <v>2687905.6132735191</v>
      </c>
      <c r="S161" s="5"/>
    </row>
    <row r="162" spans="2:19" s="188" customFormat="1" ht="13" x14ac:dyDescent="0.3">
      <c r="B162" s="184"/>
      <c r="C162" s="207" t="s">
        <v>267</v>
      </c>
      <c r="D162" s="206" t="s">
        <v>16</v>
      </c>
      <c r="E162" s="206" t="s">
        <v>274</v>
      </c>
      <c r="F162" s="205"/>
      <c r="G162" s="208">
        <v>8540</v>
      </c>
      <c r="H162" s="208">
        <v>20893</v>
      </c>
      <c r="I162" s="208">
        <v>23856</v>
      </c>
      <c r="J162" s="208">
        <v>24544</v>
      </c>
      <c r="K162" s="208">
        <v>28017</v>
      </c>
      <c r="L162" s="208">
        <v>26225</v>
      </c>
      <c r="M162" s="208">
        <v>29192</v>
      </c>
      <c r="N162" s="208">
        <v>31007</v>
      </c>
      <c r="O162" s="208">
        <v>32176</v>
      </c>
      <c r="S162" s="5"/>
    </row>
    <row r="163" spans="2:19" s="188" customFormat="1" ht="13" x14ac:dyDescent="0.3">
      <c r="B163" s="184"/>
      <c r="C163" s="207"/>
      <c r="D163" s="206"/>
      <c r="E163" s="206"/>
      <c r="F163" s="205"/>
      <c r="G163" s="208"/>
      <c r="H163" s="208"/>
      <c r="I163" s="208"/>
      <c r="J163" s="208"/>
      <c r="K163" s="208"/>
      <c r="L163" s="208"/>
      <c r="M163" s="208"/>
      <c r="N163" s="208"/>
      <c r="O163" s="208"/>
      <c r="S163" s="5"/>
    </row>
    <row r="164" spans="2:19" s="188" customFormat="1" ht="13" x14ac:dyDescent="0.3">
      <c r="B164" s="184"/>
      <c r="C164" s="207" t="s">
        <v>18</v>
      </c>
      <c r="D164" s="206" t="s">
        <v>16</v>
      </c>
      <c r="E164" s="206" t="s">
        <v>275</v>
      </c>
      <c r="F164" s="205"/>
      <c r="G164" s="208">
        <v>202308</v>
      </c>
      <c r="H164" s="208">
        <v>324396</v>
      </c>
      <c r="I164" s="208">
        <v>238000</v>
      </c>
      <c r="J164" s="208">
        <v>208792</v>
      </c>
      <c r="K164" s="208">
        <v>201414</v>
      </c>
      <c r="L164" s="208">
        <v>654503</v>
      </c>
      <c r="M164" s="208">
        <v>748810</v>
      </c>
      <c r="N164" s="208">
        <v>1109229</v>
      </c>
      <c r="O164" s="208">
        <v>664564</v>
      </c>
      <c r="S164" s="5"/>
    </row>
    <row r="165" spans="2:19" s="188" customFormat="1" ht="13" x14ac:dyDescent="0.3">
      <c r="B165" s="184"/>
      <c r="C165" s="207" t="s">
        <v>19</v>
      </c>
      <c r="D165" s="206" t="s">
        <v>16</v>
      </c>
      <c r="E165" s="206" t="s">
        <v>273</v>
      </c>
      <c r="F165" s="205"/>
      <c r="G165" s="208">
        <v>106393.0125</v>
      </c>
      <c r="H165" s="208">
        <v>87509.732500000027</v>
      </c>
      <c r="I165" s="208">
        <v>56694.232000000004</v>
      </c>
      <c r="J165" s="208">
        <v>40477.599999999999</v>
      </c>
      <c r="K165" s="208">
        <v>78184.678999999946</v>
      </c>
      <c r="L165" s="208">
        <v>27408.7212</v>
      </c>
      <c r="M165" s="208">
        <v>52131.342052000007</v>
      </c>
      <c r="N165" s="208">
        <v>26654.151999999995</v>
      </c>
      <c r="O165" s="208">
        <v>60339</v>
      </c>
      <c r="S165" s="5"/>
    </row>
    <row r="166" spans="2:19" s="188" customFormat="1" ht="13" x14ac:dyDescent="0.3">
      <c r="B166" s="184"/>
      <c r="C166" s="207" t="s">
        <v>20</v>
      </c>
      <c r="D166" s="206" t="s">
        <v>16</v>
      </c>
      <c r="E166" s="206" t="s">
        <v>273</v>
      </c>
      <c r="F166" s="205"/>
      <c r="G166" s="208">
        <v>12453.787193651728</v>
      </c>
      <c r="H166" s="208">
        <v>45946.376473489283</v>
      </c>
      <c r="I166" s="208">
        <v>43207.65</v>
      </c>
      <c r="J166" s="208">
        <v>30712.17</v>
      </c>
      <c r="K166" s="208">
        <v>37012.560300000005</v>
      </c>
      <c r="L166" s="208">
        <v>14983.331000000002</v>
      </c>
      <c r="M166" s="208">
        <v>17783.037326470585</v>
      </c>
      <c r="N166" s="208">
        <v>19492.092000000001</v>
      </c>
      <c r="O166" s="208">
        <v>31770.98</v>
      </c>
      <c r="S166" s="5"/>
    </row>
    <row r="167" spans="2:19" s="188" customFormat="1" ht="13" x14ac:dyDescent="0.3">
      <c r="B167" s="184"/>
      <c r="C167" s="207" t="s">
        <v>21</v>
      </c>
      <c r="D167" s="206" t="s">
        <v>16</v>
      </c>
      <c r="E167" s="206" t="s">
        <v>273</v>
      </c>
      <c r="F167" s="205"/>
      <c r="G167" s="208">
        <v>461871.10193023254</v>
      </c>
      <c r="H167" s="208">
        <v>354326.2776511627</v>
      </c>
      <c r="I167" s="208">
        <v>164719.39023255813</v>
      </c>
      <c r="J167" s="208">
        <v>63400.718459302327</v>
      </c>
      <c r="K167" s="208">
        <v>10204.235000000001</v>
      </c>
      <c r="L167" s="208">
        <v>0</v>
      </c>
      <c r="M167" s="208">
        <v>0</v>
      </c>
      <c r="N167" s="208">
        <v>35.189</v>
      </c>
      <c r="O167" s="208">
        <v>89037.62</v>
      </c>
      <c r="S167" s="5"/>
    </row>
    <row r="168" spans="2:19" s="188" customFormat="1" ht="13" x14ac:dyDescent="0.3">
      <c r="B168" s="184"/>
      <c r="C168" s="207" t="s">
        <v>22</v>
      </c>
      <c r="D168" s="206" t="s">
        <v>16</v>
      </c>
      <c r="E168" s="206" t="s">
        <v>33</v>
      </c>
      <c r="F168" s="205"/>
      <c r="G168" s="208">
        <v>0</v>
      </c>
      <c r="H168" s="208">
        <v>0</v>
      </c>
      <c r="I168" s="208">
        <v>885</v>
      </c>
      <c r="J168" s="208">
        <v>609</v>
      </c>
      <c r="K168" s="208">
        <v>596</v>
      </c>
      <c r="L168" s="208">
        <v>199</v>
      </c>
      <c r="M168" s="208">
        <v>31</v>
      </c>
      <c r="N168" s="208">
        <v>0</v>
      </c>
      <c r="O168" s="208">
        <v>10</v>
      </c>
      <c r="S168" s="5"/>
    </row>
    <row r="169" spans="2:19" s="188" customFormat="1" ht="13" x14ac:dyDescent="0.3">
      <c r="B169" s="184"/>
      <c r="C169" s="207" t="s">
        <v>23</v>
      </c>
      <c r="D169" s="206" t="s">
        <v>16</v>
      </c>
      <c r="E169" s="206" t="s">
        <v>273</v>
      </c>
      <c r="F169" s="205"/>
      <c r="G169" s="208">
        <v>0</v>
      </c>
      <c r="H169" s="208">
        <v>0</v>
      </c>
      <c r="I169" s="208">
        <v>65351.499180633138</v>
      </c>
      <c r="J169" s="208">
        <v>93153.869974212779</v>
      </c>
      <c r="K169" s="208">
        <v>99357.734999999986</v>
      </c>
      <c r="L169" s="208">
        <v>6735.7</v>
      </c>
      <c r="M169" s="208">
        <v>30870.27</v>
      </c>
      <c r="N169" s="208">
        <v>0</v>
      </c>
      <c r="O169" s="208">
        <v>0</v>
      </c>
      <c r="S169" s="5"/>
    </row>
    <row r="170" spans="2:19" s="188" customFormat="1" ht="13" x14ac:dyDescent="0.3">
      <c r="B170" s="184"/>
      <c r="C170" s="207" t="s">
        <v>24</v>
      </c>
      <c r="D170" s="206" t="s">
        <v>16</v>
      </c>
      <c r="E170" s="206" t="s">
        <v>273</v>
      </c>
      <c r="F170" s="205"/>
      <c r="G170" s="208">
        <v>0</v>
      </c>
      <c r="H170" s="208">
        <v>0</v>
      </c>
      <c r="I170" s="208">
        <v>22040.91</v>
      </c>
      <c r="J170" s="208">
        <v>19144.270000000004</v>
      </c>
      <c r="K170" s="208">
        <v>40329.461666666684</v>
      </c>
      <c r="L170" s="208">
        <v>14864.283999999998</v>
      </c>
      <c r="M170" s="208">
        <v>12930.685999999994</v>
      </c>
      <c r="N170" s="208">
        <v>10178.103991999998</v>
      </c>
      <c r="O170" s="208">
        <v>19345.993999999999</v>
      </c>
      <c r="S170" s="5"/>
    </row>
    <row r="171" spans="2:19" s="188" customFormat="1" ht="13" x14ac:dyDescent="0.3">
      <c r="B171" s="184"/>
      <c r="C171" s="207" t="s">
        <v>268</v>
      </c>
      <c r="D171" s="206" t="s">
        <v>16</v>
      </c>
      <c r="E171" s="206" t="s">
        <v>31</v>
      </c>
      <c r="F171" s="205"/>
      <c r="G171" s="208">
        <v>1290</v>
      </c>
      <c r="H171" s="208">
        <v>2185</v>
      </c>
      <c r="I171" s="208">
        <v>2048</v>
      </c>
      <c r="J171" s="208">
        <v>1222</v>
      </c>
      <c r="K171" s="208">
        <v>1503</v>
      </c>
      <c r="L171" s="208">
        <v>1398</v>
      </c>
      <c r="M171" s="208">
        <v>992</v>
      </c>
      <c r="N171" s="208">
        <v>2125</v>
      </c>
      <c r="O171" s="208">
        <v>2892</v>
      </c>
      <c r="S171" s="5"/>
    </row>
    <row r="172" spans="2:19" s="188" customFormat="1" x14ac:dyDescent="0.25">
      <c r="C172" s="207" t="s">
        <v>269</v>
      </c>
      <c r="D172" s="206" t="s">
        <v>16</v>
      </c>
      <c r="E172" s="206" t="s">
        <v>31</v>
      </c>
      <c r="F172" s="205"/>
      <c r="G172" s="208">
        <v>0</v>
      </c>
      <c r="H172" s="208">
        <v>0</v>
      </c>
      <c r="I172" s="208">
        <v>25202</v>
      </c>
      <c r="J172" s="208">
        <v>22047</v>
      </c>
      <c r="K172" s="208">
        <v>26607</v>
      </c>
      <c r="L172" s="208">
        <v>30963</v>
      </c>
      <c r="M172" s="208">
        <v>44873</v>
      </c>
      <c r="N172" s="208">
        <v>47223</v>
      </c>
      <c r="O172" s="208">
        <v>53674</v>
      </c>
      <c r="S172" s="5"/>
    </row>
    <row r="173" spans="2:19" s="188" customFormat="1" x14ac:dyDescent="0.25">
      <c r="C173" s="207" t="s">
        <v>25</v>
      </c>
      <c r="D173" s="206" t="s">
        <v>16</v>
      </c>
      <c r="E173" s="206" t="s">
        <v>276</v>
      </c>
      <c r="F173" s="205"/>
      <c r="G173" s="208">
        <v>988</v>
      </c>
      <c r="H173" s="208">
        <v>2099</v>
      </c>
      <c r="I173" s="208">
        <v>1967</v>
      </c>
      <c r="J173" s="208">
        <v>1355</v>
      </c>
      <c r="K173" s="208">
        <v>1129</v>
      </c>
      <c r="L173" s="208">
        <v>1224</v>
      </c>
      <c r="M173" s="208">
        <v>1424</v>
      </c>
      <c r="N173" s="208">
        <v>1685</v>
      </c>
      <c r="O173" s="208">
        <v>1218</v>
      </c>
      <c r="S173" s="5"/>
    </row>
    <row r="174" spans="2:19" s="188" customFormat="1" x14ac:dyDescent="0.25">
      <c r="C174" s="207" t="s">
        <v>26</v>
      </c>
      <c r="D174" s="206" t="s">
        <v>16</v>
      </c>
      <c r="E174" s="206" t="s">
        <v>276</v>
      </c>
      <c r="F174" s="205"/>
      <c r="G174" s="208">
        <v>0</v>
      </c>
      <c r="H174" s="208">
        <v>0</v>
      </c>
      <c r="I174" s="208">
        <v>1001</v>
      </c>
      <c r="J174" s="208">
        <v>1125</v>
      </c>
      <c r="K174" s="208">
        <v>1100</v>
      </c>
      <c r="L174" s="208">
        <v>1295</v>
      </c>
      <c r="M174" s="208">
        <v>1721</v>
      </c>
      <c r="N174" s="208">
        <v>2818</v>
      </c>
      <c r="O174" s="208">
        <v>3121</v>
      </c>
      <c r="S174" s="5"/>
    </row>
    <row r="175" spans="2:19" s="188" customFormat="1" x14ac:dyDescent="0.25">
      <c r="C175" s="207" t="s">
        <v>27</v>
      </c>
      <c r="D175" s="206" t="s">
        <v>16</v>
      </c>
      <c r="E175" s="206" t="s">
        <v>273</v>
      </c>
      <c r="F175" s="205"/>
      <c r="G175" s="208">
        <v>77279.019108280248</v>
      </c>
      <c r="H175" s="208">
        <v>72716.999999999956</v>
      </c>
      <c r="I175" s="208">
        <v>41804</v>
      </c>
      <c r="J175" s="208">
        <v>51756.506666666653</v>
      </c>
      <c r="K175" s="208">
        <v>32759</v>
      </c>
      <c r="L175" s="208">
        <v>29260</v>
      </c>
      <c r="M175" s="208">
        <v>16403</v>
      </c>
      <c r="N175" s="208">
        <v>17485.7</v>
      </c>
      <c r="O175" s="208">
        <v>19148</v>
      </c>
      <c r="S175" s="5"/>
    </row>
    <row r="176" spans="2:19" s="188" customFormat="1" x14ac:dyDescent="0.25">
      <c r="C176" s="207" t="s">
        <v>28</v>
      </c>
      <c r="D176" s="206" t="s">
        <v>16</v>
      </c>
      <c r="E176" s="206" t="s">
        <v>277</v>
      </c>
      <c r="F176" s="205"/>
      <c r="G176" s="208">
        <v>0</v>
      </c>
      <c r="H176" s="208">
        <v>0</v>
      </c>
      <c r="I176" s="208">
        <v>0</v>
      </c>
      <c r="J176" s="208">
        <v>952</v>
      </c>
      <c r="K176" s="208">
        <v>1071</v>
      </c>
      <c r="L176" s="208">
        <v>1096</v>
      </c>
      <c r="M176" s="208">
        <v>858</v>
      </c>
      <c r="N176" s="208">
        <v>730</v>
      </c>
      <c r="O176" s="208">
        <v>621</v>
      </c>
      <c r="S176" s="5"/>
    </row>
    <row r="177" spans="2:19" s="188" customFormat="1" x14ac:dyDescent="0.25">
      <c r="C177" s="207" t="s">
        <v>270</v>
      </c>
      <c r="D177" s="206" t="s">
        <v>16</v>
      </c>
      <c r="E177" s="206" t="s">
        <v>278</v>
      </c>
      <c r="F177" s="205"/>
      <c r="G177" s="208">
        <v>0</v>
      </c>
      <c r="H177" s="208">
        <v>0</v>
      </c>
      <c r="I177" s="208">
        <v>0</v>
      </c>
      <c r="J177" s="208">
        <v>50074</v>
      </c>
      <c r="K177" s="208">
        <v>293328</v>
      </c>
      <c r="L177" s="208">
        <v>506064</v>
      </c>
      <c r="M177" s="208">
        <v>574576</v>
      </c>
      <c r="N177" s="208">
        <v>653212</v>
      </c>
      <c r="O177" s="208">
        <v>520553</v>
      </c>
      <c r="S177" s="5"/>
    </row>
    <row r="178" spans="2:19" s="188" customFormat="1" x14ac:dyDescent="0.25">
      <c r="C178" s="207" t="s">
        <v>29</v>
      </c>
      <c r="D178" s="206" t="s">
        <v>16</v>
      </c>
      <c r="E178" s="206" t="s">
        <v>32</v>
      </c>
      <c r="F178" s="205"/>
      <c r="G178" s="208"/>
      <c r="H178" s="208"/>
      <c r="I178" s="208"/>
      <c r="J178" s="208"/>
      <c r="K178" s="208"/>
      <c r="L178" s="208"/>
      <c r="M178" s="208"/>
      <c r="N178" s="208"/>
      <c r="O178" s="208"/>
      <c r="S178" s="5"/>
    </row>
    <row r="179" spans="2:19" s="188" customFormat="1" ht="13.5" thickBot="1" x14ac:dyDescent="0.35">
      <c r="C179" s="210" t="s">
        <v>111</v>
      </c>
      <c r="D179" s="211" t="s">
        <v>16</v>
      </c>
      <c r="E179" s="211" t="s">
        <v>32</v>
      </c>
      <c r="F179" s="205"/>
      <c r="G179" s="213">
        <f t="shared" ref="G179:O179" si="56">+SUM(G141:G178)</f>
        <v>25303635.55415909</v>
      </c>
      <c r="H179" s="213">
        <f t="shared" si="56"/>
        <v>25699514.005759064</v>
      </c>
      <c r="I179" s="213">
        <f t="shared" si="56"/>
        <v>28666807.762026515</v>
      </c>
      <c r="J179" s="213">
        <f t="shared" si="56"/>
        <v>25432213.611281171</v>
      </c>
      <c r="K179" s="213">
        <f t="shared" si="56"/>
        <v>24897696.918472189</v>
      </c>
      <c r="L179" s="213">
        <f t="shared" si="56"/>
        <v>23801581.313866314</v>
      </c>
      <c r="M179" s="213">
        <f t="shared" si="56"/>
        <v>25275219.229781579</v>
      </c>
      <c r="N179" s="213">
        <f t="shared" si="56"/>
        <v>25696734.516777165</v>
      </c>
      <c r="O179" s="213">
        <f t="shared" si="56"/>
        <v>24848280.251859464</v>
      </c>
      <c r="S179" s="5"/>
    </row>
    <row r="180" spans="2:19" s="188" customFormat="1" x14ac:dyDescent="0.25">
      <c r="D180" s="206"/>
      <c r="E180" s="206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</row>
    <row r="181" spans="2:19" ht="13" x14ac:dyDescent="0.3">
      <c r="B181" s="7" t="s">
        <v>246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2:19" x14ac:dyDescent="0.25">
      <c r="C182" s="5" t="s">
        <v>11</v>
      </c>
      <c r="D182" s="6" t="s">
        <v>16</v>
      </c>
      <c r="E182" s="6" t="s">
        <v>272</v>
      </c>
      <c r="F182" s="8"/>
      <c r="G182" s="21">
        <f t="shared" ref="G182:O182" si="57">+G141</f>
        <v>13747957.46302693</v>
      </c>
      <c r="H182" s="21">
        <f t="shared" si="57"/>
        <v>13557546.868134409</v>
      </c>
      <c r="I182" s="21">
        <f t="shared" si="57"/>
        <v>15909249.198613321</v>
      </c>
      <c r="J182" s="21">
        <f t="shared" si="57"/>
        <v>14099390.272180986</v>
      </c>
      <c r="K182" s="21">
        <f t="shared" si="57"/>
        <v>14258116.917505523</v>
      </c>
      <c r="L182" s="82">
        <f t="shared" si="57"/>
        <v>11944685.863066312</v>
      </c>
      <c r="M182" s="82">
        <f t="shared" si="57"/>
        <v>12204188.287683951</v>
      </c>
      <c r="N182" s="82">
        <f t="shared" si="57"/>
        <v>12268098.469847441</v>
      </c>
      <c r="O182" s="82">
        <f t="shared" si="57"/>
        <v>11614937.609720707</v>
      </c>
    </row>
    <row r="183" spans="2:19" x14ac:dyDescent="0.25">
      <c r="C183" s="5" t="s">
        <v>12</v>
      </c>
      <c r="D183" s="6" t="s">
        <v>16</v>
      </c>
      <c r="E183" s="6" t="s">
        <v>31</v>
      </c>
      <c r="F183" s="8"/>
      <c r="G183" s="21">
        <f>+G142+G150</f>
        <v>99644</v>
      </c>
      <c r="H183" s="21">
        <f t="shared" ref="H183:O183" si="58">+H142+H150</f>
        <v>86693</v>
      </c>
      <c r="I183" s="21">
        <f t="shared" si="58"/>
        <v>96186</v>
      </c>
      <c r="J183" s="21">
        <f t="shared" si="58"/>
        <v>94791</v>
      </c>
      <c r="K183" s="21">
        <f t="shared" si="58"/>
        <v>121561</v>
      </c>
      <c r="L183" s="82">
        <f t="shared" si="58"/>
        <v>142378</v>
      </c>
      <c r="M183" s="82">
        <f t="shared" si="58"/>
        <v>148543</v>
      </c>
      <c r="N183" s="82">
        <f t="shared" si="58"/>
        <v>135295</v>
      </c>
      <c r="O183" s="82">
        <f t="shared" si="58"/>
        <v>112881</v>
      </c>
    </row>
    <row r="184" spans="2:19" x14ac:dyDescent="0.25">
      <c r="C184" s="5" t="s">
        <v>13</v>
      </c>
      <c r="D184" s="6" t="s">
        <v>16</v>
      </c>
      <c r="E184" s="6" t="s">
        <v>31</v>
      </c>
      <c r="F184" s="8"/>
      <c r="G184" s="21">
        <f t="shared" ref="G184:G190" si="59">+G143+G151</f>
        <v>102436</v>
      </c>
      <c r="H184" s="21">
        <f t="shared" ref="H184:O184" si="60">+H143+H151</f>
        <v>86119</v>
      </c>
      <c r="I184" s="21">
        <f t="shared" si="60"/>
        <v>115938</v>
      </c>
      <c r="J184" s="21">
        <f t="shared" si="60"/>
        <v>111664</v>
      </c>
      <c r="K184" s="21">
        <f t="shared" si="60"/>
        <v>132318</v>
      </c>
      <c r="L184" s="82">
        <f t="shared" si="60"/>
        <v>152488</v>
      </c>
      <c r="M184" s="82">
        <f t="shared" si="60"/>
        <v>169922</v>
      </c>
      <c r="N184" s="82">
        <f t="shared" si="60"/>
        <v>193601</v>
      </c>
      <c r="O184" s="82">
        <f t="shared" si="60"/>
        <v>197622</v>
      </c>
    </row>
    <row r="185" spans="2:19" x14ac:dyDescent="0.25">
      <c r="C185" s="5" t="s">
        <v>14</v>
      </c>
      <c r="D185" s="6" t="s">
        <v>16</v>
      </c>
      <c r="E185" s="6" t="s">
        <v>31</v>
      </c>
      <c r="F185" s="8"/>
      <c r="G185" s="21">
        <f t="shared" si="59"/>
        <v>34116</v>
      </c>
      <c r="H185" s="21">
        <f t="shared" ref="H185:O185" si="61">+H144+H152</f>
        <v>23148</v>
      </c>
      <c r="I185" s="21">
        <f t="shared" si="61"/>
        <v>21758</v>
      </c>
      <c r="J185" s="21">
        <f t="shared" si="61"/>
        <v>26488</v>
      </c>
      <c r="K185" s="21">
        <f t="shared" si="61"/>
        <v>33915</v>
      </c>
      <c r="L185" s="82">
        <f t="shared" si="61"/>
        <v>40088</v>
      </c>
      <c r="M185" s="82">
        <f t="shared" si="61"/>
        <v>33796</v>
      </c>
      <c r="N185" s="82">
        <f t="shared" si="61"/>
        <v>32948</v>
      </c>
      <c r="O185" s="82">
        <f t="shared" si="61"/>
        <v>23095</v>
      </c>
    </row>
    <row r="186" spans="2:19" x14ac:dyDescent="0.25">
      <c r="C186" s="5" t="s">
        <v>15</v>
      </c>
      <c r="D186" s="6" t="s">
        <v>16</v>
      </c>
      <c r="E186" s="6" t="s">
        <v>31</v>
      </c>
      <c r="F186" s="8"/>
      <c r="G186" s="21">
        <f t="shared" si="59"/>
        <v>52154</v>
      </c>
      <c r="H186" s="21">
        <f t="shared" ref="H186:O186" si="62">+H145+H153</f>
        <v>25172</v>
      </c>
      <c r="I186" s="21">
        <f t="shared" si="62"/>
        <v>46884</v>
      </c>
      <c r="J186" s="21">
        <f t="shared" si="62"/>
        <v>40701</v>
      </c>
      <c r="K186" s="21">
        <f t="shared" si="62"/>
        <v>62790</v>
      </c>
      <c r="L186" s="82">
        <f t="shared" si="62"/>
        <v>102679</v>
      </c>
      <c r="M186" s="82">
        <f t="shared" si="62"/>
        <v>104928</v>
      </c>
      <c r="N186" s="82">
        <f t="shared" si="62"/>
        <v>117849</v>
      </c>
      <c r="O186" s="82">
        <f t="shared" si="62"/>
        <v>107271</v>
      </c>
    </row>
    <row r="187" spans="2:19" x14ac:dyDescent="0.25">
      <c r="C187" s="5" t="s">
        <v>297</v>
      </c>
      <c r="D187" s="6" t="s">
        <v>16</v>
      </c>
      <c r="E187" s="6" t="s">
        <v>31</v>
      </c>
      <c r="F187" s="8"/>
      <c r="G187" s="21">
        <f t="shared" si="59"/>
        <v>4722</v>
      </c>
      <c r="H187" s="21">
        <f t="shared" ref="H187:O187" si="63">+H146+H154</f>
        <v>11303</v>
      </c>
      <c r="I187" s="21">
        <f t="shared" si="63"/>
        <v>6017</v>
      </c>
      <c r="J187" s="21">
        <f t="shared" si="63"/>
        <v>15031</v>
      </c>
      <c r="K187" s="21">
        <f t="shared" si="63"/>
        <v>10666</v>
      </c>
      <c r="L187" s="82">
        <f t="shared" si="63"/>
        <v>24173</v>
      </c>
      <c r="M187" s="82">
        <f t="shared" si="63"/>
        <v>28579</v>
      </c>
      <c r="N187" s="82">
        <f t="shared" si="63"/>
        <v>29026</v>
      </c>
      <c r="O187" s="82">
        <f t="shared" si="63"/>
        <v>24403</v>
      </c>
    </row>
    <row r="188" spans="2:19" x14ac:dyDescent="0.25">
      <c r="C188" s="5" t="s">
        <v>298</v>
      </c>
      <c r="D188" s="6" t="s">
        <v>16</v>
      </c>
      <c r="E188" s="6" t="s">
        <v>31</v>
      </c>
      <c r="F188" s="8"/>
      <c r="G188" s="21">
        <f t="shared" si="59"/>
        <v>3470</v>
      </c>
      <c r="H188" s="21">
        <f t="shared" ref="H188:O188" si="64">+H147+H155</f>
        <v>7054</v>
      </c>
      <c r="I188" s="21">
        <f t="shared" si="64"/>
        <v>7425</v>
      </c>
      <c r="J188" s="21">
        <f t="shared" si="64"/>
        <v>14130</v>
      </c>
      <c r="K188" s="21">
        <f t="shared" si="64"/>
        <v>6425</v>
      </c>
      <c r="L188" s="82">
        <f t="shared" si="64"/>
        <v>19464</v>
      </c>
      <c r="M188" s="82">
        <f t="shared" si="64"/>
        <v>31485</v>
      </c>
      <c r="N188" s="82">
        <f t="shared" si="64"/>
        <v>30051</v>
      </c>
      <c r="O188" s="82">
        <f t="shared" si="64"/>
        <v>26678</v>
      </c>
    </row>
    <row r="189" spans="2:19" x14ac:dyDescent="0.25">
      <c r="C189" s="5" t="s">
        <v>299</v>
      </c>
      <c r="D189" s="6" t="s">
        <v>16</v>
      </c>
      <c r="E189" s="6" t="s">
        <v>31</v>
      </c>
      <c r="F189" s="8"/>
      <c r="G189" s="21">
        <f t="shared" si="59"/>
        <v>2392</v>
      </c>
      <c r="H189" s="21">
        <f t="shared" ref="H189:O189" si="65">+H148+H156</f>
        <v>2016</v>
      </c>
      <c r="I189" s="21">
        <f t="shared" si="65"/>
        <v>487</v>
      </c>
      <c r="J189" s="21">
        <f t="shared" si="65"/>
        <v>90</v>
      </c>
      <c r="K189" s="21">
        <f t="shared" si="65"/>
        <v>533</v>
      </c>
      <c r="L189" s="82">
        <f t="shared" si="65"/>
        <v>2328</v>
      </c>
      <c r="M189" s="82">
        <f t="shared" si="65"/>
        <v>2454</v>
      </c>
      <c r="N189" s="82">
        <f t="shared" si="65"/>
        <v>1208</v>
      </c>
      <c r="O189" s="82">
        <f t="shared" si="65"/>
        <v>1165</v>
      </c>
    </row>
    <row r="190" spans="2:19" x14ac:dyDescent="0.25">
      <c r="C190" s="5" t="s">
        <v>300</v>
      </c>
      <c r="D190" s="6" t="s">
        <v>16</v>
      </c>
      <c r="E190" s="6" t="s">
        <v>31</v>
      </c>
      <c r="F190" s="8"/>
      <c r="G190" s="21">
        <f t="shared" si="59"/>
        <v>10210</v>
      </c>
      <c r="H190" s="21">
        <f t="shared" ref="H190:O190" si="66">+H149+H157</f>
        <v>5817</v>
      </c>
      <c r="I190" s="21">
        <f t="shared" si="66"/>
        <v>2255</v>
      </c>
      <c r="J190" s="21">
        <f t="shared" si="66"/>
        <v>1386</v>
      </c>
      <c r="K190" s="21">
        <f t="shared" si="66"/>
        <v>2929</v>
      </c>
      <c r="L190" s="82">
        <f t="shared" si="66"/>
        <v>15054</v>
      </c>
      <c r="M190" s="82">
        <f t="shared" si="66"/>
        <v>13249</v>
      </c>
      <c r="N190" s="82">
        <f t="shared" si="66"/>
        <v>10771</v>
      </c>
      <c r="O190" s="82">
        <f t="shared" si="66"/>
        <v>3658</v>
      </c>
    </row>
    <row r="191" spans="2:19" ht="13" x14ac:dyDescent="0.3">
      <c r="B191" s="7"/>
      <c r="C191" s="5" t="s">
        <v>263</v>
      </c>
      <c r="D191" s="6" t="s">
        <v>16</v>
      </c>
      <c r="E191" s="6" t="s">
        <v>273</v>
      </c>
      <c r="F191" s="8"/>
      <c r="G191" s="21">
        <f t="shared" ref="G191:O191" si="67">+G158</f>
        <v>1465601.2120000001</v>
      </c>
      <c r="H191" s="21">
        <f t="shared" si="67"/>
        <v>1797593.1399999987</v>
      </c>
      <c r="I191" s="21">
        <f t="shared" si="67"/>
        <v>1804960.6480000014</v>
      </c>
      <c r="J191" s="21">
        <f t="shared" si="67"/>
        <v>1824534.0829999999</v>
      </c>
      <c r="K191" s="21">
        <f t="shared" si="67"/>
        <v>1907340.6519999998</v>
      </c>
      <c r="L191" s="21">
        <f t="shared" si="67"/>
        <v>1798833.4905000003</v>
      </c>
      <c r="M191" s="21">
        <f t="shared" si="67"/>
        <v>1876061.1407191604</v>
      </c>
      <c r="N191" s="21">
        <f t="shared" si="67"/>
        <v>2310898.7121924129</v>
      </c>
      <c r="O191" s="82">
        <f t="shared" si="67"/>
        <v>2225325.8676652331</v>
      </c>
    </row>
    <row r="192" spans="2:19" ht="13" x14ac:dyDescent="0.3">
      <c r="B192" s="7"/>
      <c r="C192" s="5" t="s">
        <v>264</v>
      </c>
      <c r="D192" s="6" t="s">
        <v>16</v>
      </c>
      <c r="E192" s="6" t="s">
        <v>273</v>
      </c>
      <c r="F192" s="8"/>
      <c r="G192" s="21">
        <f t="shared" ref="G192:O192" si="68">+G159</f>
        <v>362214.92440000002</v>
      </c>
      <c r="H192" s="21">
        <f t="shared" si="68"/>
        <v>438340.109</v>
      </c>
      <c r="I192" s="21">
        <f t="shared" si="68"/>
        <v>439715.23599999986</v>
      </c>
      <c r="J192" s="21">
        <f t="shared" si="68"/>
        <v>344775.973</v>
      </c>
      <c r="K192" s="21">
        <f t="shared" si="68"/>
        <v>341830.41299999994</v>
      </c>
      <c r="L192" s="21">
        <f t="shared" si="68"/>
        <v>290741.87409999996</v>
      </c>
      <c r="M192" s="21">
        <f t="shared" si="68"/>
        <v>334505.21000000002</v>
      </c>
      <c r="N192" s="21">
        <f t="shared" si="68"/>
        <v>319561.30325251998</v>
      </c>
      <c r="O192" s="82">
        <f t="shared" si="68"/>
        <v>313678.3297</v>
      </c>
    </row>
    <row r="193" spans="2:15" ht="13" x14ac:dyDescent="0.3">
      <c r="B193" s="7"/>
      <c r="C193" s="5" t="s">
        <v>265</v>
      </c>
      <c r="D193" s="6" t="s">
        <v>16</v>
      </c>
      <c r="E193" s="6" t="s">
        <v>273</v>
      </c>
      <c r="F193" s="8"/>
      <c r="G193" s="21">
        <f t="shared" ref="G193:O193" si="69">+G160</f>
        <v>6075234.8499999996</v>
      </c>
      <c r="H193" s="21">
        <f t="shared" si="69"/>
        <v>6046631.909</v>
      </c>
      <c r="I193" s="21">
        <f t="shared" si="69"/>
        <v>6322716.2230000012</v>
      </c>
      <c r="J193" s="21">
        <f t="shared" si="69"/>
        <v>5430503.3540000003</v>
      </c>
      <c r="K193" s="21">
        <f t="shared" si="69"/>
        <v>4451496.4049999993</v>
      </c>
      <c r="L193" s="21">
        <f t="shared" si="69"/>
        <v>4971128.49</v>
      </c>
      <c r="M193" s="21">
        <f t="shared" si="69"/>
        <v>5831063.3130000001</v>
      </c>
      <c r="N193" s="21">
        <f t="shared" si="69"/>
        <v>5623550.7929999968</v>
      </c>
      <c r="O193" s="82">
        <f t="shared" si="69"/>
        <v>6011189.2375000026</v>
      </c>
    </row>
    <row r="194" spans="2:15" ht="13" x14ac:dyDescent="0.3">
      <c r="B194" s="7"/>
      <c r="C194" s="5" t="s">
        <v>266</v>
      </c>
      <c r="D194" s="6" t="s">
        <v>16</v>
      </c>
      <c r="E194" s="6" t="s">
        <v>273</v>
      </c>
      <c r="F194" s="8"/>
      <c r="G194" s="21">
        <f t="shared" ref="G194:O194" si="70">+G161</f>
        <v>2472360.1840000004</v>
      </c>
      <c r="H194" s="21">
        <f t="shared" si="70"/>
        <v>2702007.5930000003</v>
      </c>
      <c r="I194" s="21">
        <f t="shared" si="70"/>
        <v>3206439.7750000004</v>
      </c>
      <c r="J194" s="21">
        <f t="shared" si="70"/>
        <v>2819363.7940000002</v>
      </c>
      <c r="K194" s="21">
        <f t="shared" si="70"/>
        <v>2715162.8600000008</v>
      </c>
      <c r="L194" s="21">
        <f t="shared" si="70"/>
        <v>2981320.5599999996</v>
      </c>
      <c r="M194" s="21">
        <f t="shared" si="70"/>
        <v>2963849.9429999967</v>
      </c>
      <c r="N194" s="21">
        <f t="shared" si="70"/>
        <v>2702002.0014927979</v>
      </c>
      <c r="O194" s="82">
        <f t="shared" si="70"/>
        <v>2687905.6132735191</v>
      </c>
    </row>
    <row r="195" spans="2:15" ht="13" x14ac:dyDescent="0.3">
      <c r="B195" s="7"/>
      <c r="C195" s="5" t="s">
        <v>267</v>
      </c>
      <c r="D195" s="6" t="s">
        <v>16</v>
      </c>
      <c r="E195" s="6" t="s">
        <v>274</v>
      </c>
      <c r="F195" s="8"/>
      <c r="G195" s="21">
        <f t="shared" ref="G195:O195" si="71">+G162</f>
        <v>8540</v>
      </c>
      <c r="H195" s="21">
        <f t="shared" si="71"/>
        <v>20893</v>
      </c>
      <c r="I195" s="21">
        <f t="shared" si="71"/>
        <v>23856</v>
      </c>
      <c r="J195" s="21">
        <f t="shared" si="71"/>
        <v>24544</v>
      </c>
      <c r="K195" s="21">
        <f t="shared" si="71"/>
        <v>28017</v>
      </c>
      <c r="L195" s="21">
        <f t="shared" si="71"/>
        <v>26225</v>
      </c>
      <c r="M195" s="21">
        <f t="shared" si="71"/>
        <v>29192</v>
      </c>
      <c r="N195" s="21">
        <f t="shared" si="71"/>
        <v>31007</v>
      </c>
      <c r="O195" s="82">
        <f t="shared" si="71"/>
        <v>32176</v>
      </c>
    </row>
    <row r="196" spans="2:15" ht="13" x14ac:dyDescent="0.3">
      <c r="B196" s="7"/>
      <c r="C196" s="5"/>
      <c r="F196" s="8"/>
      <c r="G196" s="21"/>
      <c r="H196" s="21"/>
      <c r="I196" s="21"/>
      <c r="J196" s="21"/>
      <c r="K196" s="21"/>
      <c r="L196" s="21"/>
      <c r="M196" s="21"/>
      <c r="N196" s="21"/>
      <c r="O196" s="82"/>
    </row>
    <row r="197" spans="2:15" ht="13" x14ac:dyDescent="0.3">
      <c r="B197" s="7"/>
      <c r="C197" s="5" t="s">
        <v>18</v>
      </c>
      <c r="D197" s="6" t="s">
        <v>16</v>
      </c>
      <c r="E197" s="6" t="s">
        <v>275</v>
      </c>
      <c r="F197" s="8"/>
      <c r="G197" s="21">
        <f t="shared" ref="G197:O197" si="72">+G164</f>
        <v>202308</v>
      </c>
      <c r="H197" s="21">
        <f t="shared" si="72"/>
        <v>324396</v>
      </c>
      <c r="I197" s="21">
        <f t="shared" si="72"/>
        <v>238000</v>
      </c>
      <c r="J197" s="21">
        <f t="shared" si="72"/>
        <v>208792</v>
      </c>
      <c r="K197" s="21">
        <f t="shared" si="72"/>
        <v>201414</v>
      </c>
      <c r="L197" s="21">
        <f t="shared" si="72"/>
        <v>654503</v>
      </c>
      <c r="M197" s="21">
        <f t="shared" si="72"/>
        <v>748810</v>
      </c>
      <c r="N197" s="21">
        <f t="shared" si="72"/>
        <v>1109229</v>
      </c>
      <c r="O197" s="82">
        <f t="shared" si="72"/>
        <v>664564</v>
      </c>
    </row>
    <row r="198" spans="2:15" ht="13" x14ac:dyDescent="0.3">
      <c r="B198" s="7"/>
      <c r="C198" s="5" t="s">
        <v>19</v>
      </c>
      <c r="D198" s="6" t="s">
        <v>16</v>
      </c>
      <c r="E198" s="6" t="s">
        <v>273</v>
      </c>
      <c r="F198" s="8"/>
      <c r="G198" s="21">
        <f t="shared" ref="G198:O198" si="73">+G165</f>
        <v>106393.0125</v>
      </c>
      <c r="H198" s="21">
        <f t="shared" si="73"/>
        <v>87509.732500000027</v>
      </c>
      <c r="I198" s="21">
        <f t="shared" si="73"/>
        <v>56694.232000000004</v>
      </c>
      <c r="J198" s="21">
        <f t="shared" si="73"/>
        <v>40477.599999999999</v>
      </c>
      <c r="K198" s="21">
        <f t="shared" si="73"/>
        <v>78184.678999999946</v>
      </c>
      <c r="L198" s="21">
        <f t="shared" si="73"/>
        <v>27408.7212</v>
      </c>
      <c r="M198" s="21">
        <f t="shared" si="73"/>
        <v>52131.342052000007</v>
      </c>
      <c r="N198" s="21">
        <f t="shared" si="73"/>
        <v>26654.151999999995</v>
      </c>
      <c r="O198" s="82">
        <f t="shared" si="73"/>
        <v>60339</v>
      </c>
    </row>
    <row r="199" spans="2:15" ht="13" x14ac:dyDescent="0.3">
      <c r="B199" s="7"/>
      <c r="C199" s="5" t="s">
        <v>20</v>
      </c>
      <c r="D199" s="6" t="s">
        <v>16</v>
      </c>
      <c r="E199" s="6" t="s">
        <v>273</v>
      </c>
      <c r="F199" s="8"/>
      <c r="G199" s="21">
        <f t="shared" ref="G199:O199" si="74">+G166</f>
        <v>12453.787193651728</v>
      </c>
      <c r="H199" s="21">
        <f t="shared" si="74"/>
        <v>45946.376473489283</v>
      </c>
      <c r="I199" s="21">
        <f t="shared" si="74"/>
        <v>43207.65</v>
      </c>
      <c r="J199" s="21">
        <f t="shared" si="74"/>
        <v>30712.17</v>
      </c>
      <c r="K199" s="21">
        <f t="shared" si="74"/>
        <v>37012.560300000005</v>
      </c>
      <c r="L199" s="21">
        <f t="shared" si="74"/>
        <v>14983.331000000002</v>
      </c>
      <c r="M199" s="21">
        <f t="shared" si="74"/>
        <v>17783.037326470585</v>
      </c>
      <c r="N199" s="21">
        <f t="shared" si="74"/>
        <v>19492.092000000001</v>
      </c>
      <c r="O199" s="82">
        <f t="shared" si="74"/>
        <v>31770.98</v>
      </c>
    </row>
    <row r="200" spans="2:15" ht="13" x14ac:dyDescent="0.3">
      <c r="B200" s="7"/>
      <c r="C200" s="5" t="s">
        <v>21</v>
      </c>
      <c r="D200" s="6" t="s">
        <v>16</v>
      </c>
      <c r="E200" s="6" t="s">
        <v>273</v>
      </c>
      <c r="F200" s="8"/>
      <c r="G200" s="21">
        <f t="shared" ref="G200:O200" si="75">+G167</f>
        <v>461871.10193023254</v>
      </c>
      <c r="H200" s="21">
        <f t="shared" si="75"/>
        <v>354326.2776511627</v>
      </c>
      <c r="I200" s="21">
        <f t="shared" si="75"/>
        <v>164719.39023255813</v>
      </c>
      <c r="J200" s="21">
        <f t="shared" si="75"/>
        <v>63400.718459302327</v>
      </c>
      <c r="K200" s="21">
        <f t="shared" si="75"/>
        <v>10204.235000000001</v>
      </c>
      <c r="L200" s="21">
        <f t="shared" si="75"/>
        <v>0</v>
      </c>
      <c r="M200" s="21">
        <f t="shared" si="75"/>
        <v>0</v>
      </c>
      <c r="N200" s="21">
        <f t="shared" si="75"/>
        <v>35.189</v>
      </c>
      <c r="O200" s="82">
        <f t="shared" si="75"/>
        <v>89037.62</v>
      </c>
    </row>
    <row r="201" spans="2:15" ht="13" x14ac:dyDescent="0.3">
      <c r="B201" s="7"/>
      <c r="C201" s="5" t="s">
        <v>22</v>
      </c>
      <c r="D201" s="6" t="s">
        <v>16</v>
      </c>
      <c r="E201" s="6" t="s">
        <v>33</v>
      </c>
      <c r="F201" s="8"/>
      <c r="G201" s="21">
        <f t="shared" ref="G201:O201" si="76">+G168</f>
        <v>0</v>
      </c>
      <c r="H201" s="21">
        <f t="shared" si="76"/>
        <v>0</v>
      </c>
      <c r="I201" s="21">
        <f t="shared" si="76"/>
        <v>885</v>
      </c>
      <c r="J201" s="21">
        <f t="shared" si="76"/>
        <v>609</v>
      </c>
      <c r="K201" s="21">
        <f t="shared" si="76"/>
        <v>596</v>
      </c>
      <c r="L201" s="21">
        <f t="shared" si="76"/>
        <v>199</v>
      </c>
      <c r="M201" s="21">
        <f t="shared" si="76"/>
        <v>31</v>
      </c>
      <c r="N201" s="21">
        <f t="shared" si="76"/>
        <v>0</v>
      </c>
      <c r="O201" s="82">
        <f t="shared" si="76"/>
        <v>10</v>
      </c>
    </row>
    <row r="202" spans="2:15" ht="13" x14ac:dyDescent="0.3">
      <c r="B202" s="7"/>
      <c r="C202" s="5" t="s">
        <v>23</v>
      </c>
      <c r="D202" s="6" t="s">
        <v>16</v>
      </c>
      <c r="E202" s="6" t="s">
        <v>273</v>
      </c>
      <c r="F202" s="8"/>
      <c r="G202" s="21">
        <f t="shared" ref="G202:H210" si="77">+G169</f>
        <v>0</v>
      </c>
      <c r="H202" s="21">
        <f t="shared" si="77"/>
        <v>0</v>
      </c>
      <c r="I202" s="221">
        <f>+I169*I51</f>
        <v>93910.618901303518</v>
      </c>
      <c r="J202" s="21">
        <f t="shared" ref="J202:O208" si="78">+J169</f>
        <v>93153.869974212779</v>
      </c>
      <c r="K202" s="21">
        <f t="shared" si="78"/>
        <v>99357.734999999986</v>
      </c>
      <c r="L202" s="21">
        <f t="shared" si="78"/>
        <v>6735.7</v>
      </c>
      <c r="M202" s="21">
        <f t="shared" si="78"/>
        <v>30870.27</v>
      </c>
      <c r="N202" s="21">
        <f t="shared" si="78"/>
        <v>0</v>
      </c>
      <c r="O202" s="82">
        <f t="shared" si="78"/>
        <v>0</v>
      </c>
    </row>
    <row r="203" spans="2:15" ht="13" x14ac:dyDescent="0.3">
      <c r="B203" s="7"/>
      <c r="C203" s="5" t="s">
        <v>24</v>
      </c>
      <c r="D203" s="6" t="s">
        <v>16</v>
      </c>
      <c r="E203" s="6" t="s">
        <v>273</v>
      </c>
      <c r="F203" s="8"/>
      <c r="G203" s="21">
        <f t="shared" si="77"/>
        <v>0</v>
      </c>
      <c r="H203" s="21">
        <f t="shared" si="77"/>
        <v>0</v>
      </c>
      <c r="I203" s="221">
        <f>+I170*I57</f>
        <v>31672.96122047244</v>
      </c>
      <c r="J203" s="21">
        <f t="shared" si="78"/>
        <v>19144.270000000004</v>
      </c>
      <c r="K203" s="21">
        <f t="shared" si="78"/>
        <v>40329.461666666684</v>
      </c>
      <c r="L203" s="21">
        <f t="shared" si="78"/>
        <v>14864.283999999998</v>
      </c>
      <c r="M203" s="21">
        <f t="shared" si="78"/>
        <v>12930.685999999994</v>
      </c>
      <c r="N203" s="21">
        <f t="shared" si="78"/>
        <v>10178.103991999998</v>
      </c>
      <c r="O203" s="82">
        <f t="shared" si="78"/>
        <v>19345.993999999999</v>
      </c>
    </row>
    <row r="204" spans="2:15" ht="13" x14ac:dyDescent="0.3">
      <c r="B204" s="7"/>
      <c r="C204" s="5" t="s">
        <v>268</v>
      </c>
      <c r="D204" s="6" t="s">
        <v>16</v>
      </c>
      <c r="E204" s="6" t="s">
        <v>31</v>
      </c>
      <c r="F204" s="8"/>
      <c r="G204" s="21">
        <f t="shared" si="77"/>
        <v>1290</v>
      </c>
      <c r="H204" s="21">
        <f t="shared" si="77"/>
        <v>2185</v>
      </c>
      <c r="I204" s="21">
        <f t="shared" ref="I204:I210" si="79">+I171</f>
        <v>2048</v>
      </c>
      <c r="J204" s="21">
        <f t="shared" si="78"/>
        <v>1222</v>
      </c>
      <c r="K204" s="21">
        <f t="shared" si="78"/>
        <v>1503</v>
      </c>
      <c r="L204" s="21">
        <f t="shared" si="78"/>
        <v>1398</v>
      </c>
      <c r="M204" s="21">
        <f t="shared" si="78"/>
        <v>992</v>
      </c>
      <c r="N204" s="21">
        <f t="shared" si="78"/>
        <v>2125</v>
      </c>
      <c r="O204" s="82">
        <f t="shared" si="78"/>
        <v>2892</v>
      </c>
    </row>
    <row r="205" spans="2:15" x14ac:dyDescent="0.25">
      <c r="C205" s="5" t="s">
        <v>269</v>
      </c>
      <c r="D205" s="6" t="s">
        <v>16</v>
      </c>
      <c r="E205" s="6" t="s">
        <v>31</v>
      </c>
      <c r="F205" s="8"/>
      <c r="G205" s="21">
        <f t="shared" si="77"/>
        <v>0</v>
      </c>
      <c r="H205" s="21">
        <f t="shared" si="77"/>
        <v>0</v>
      </c>
      <c r="I205" s="21">
        <f t="shared" si="79"/>
        <v>25202</v>
      </c>
      <c r="J205" s="21">
        <f t="shared" si="78"/>
        <v>22047</v>
      </c>
      <c r="K205" s="21">
        <f t="shared" si="78"/>
        <v>26607</v>
      </c>
      <c r="L205" s="21">
        <f t="shared" si="78"/>
        <v>30963</v>
      </c>
      <c r="M205" s="21">
        <f t="shared" si="78"/>
        <v>44873</v>
      </c>
      <c r="N205" s="21">
        <f t="shared" si="78"/>
        <v>47223</v>
      </c>
      <c r="O205" s="82">
        <f t="shared" si="78"/>
        <v>53674</v>
      </c>
    </row>
    <row r="206" spans="2:15" x14ac:dyDescent="0.25">
      <c r="C206" s="5" t="s">
        <v>25</v>
      </c>
      <c r="D206" s="6" t="s">
        <v>16</v>
      </c>
      <c r="E206" s="6" t="s">
        <v>276</v>
      </c>
      <c r="F206" s="8"/>
      <c r="G206" s="21">
        <f t="shared" si="77"/>
        <v>988</v>
      </c>
      <c r="H206" s="21">
        <f t="shared" si="77"/>
        <v>2099</v>
      </c>
      <c r="I206" s="21">
        <f t="shared" si="79"/>
        <v>1967</v>
      </c>
      <c r="J206" s="21">
        <f t="shared" si="78"/>
        <v>1355</v>
      </c>
      <c r="K206" s="21">
        <f t="shared" si="78"/>
        <v>1129</v>
      </c>
      <c r="L206" s="21">
        <f t="shared" si="78"/>
        <v>1224</v>
      </c>
      <c r="M206" s="21">
        <f t="shared" si="78"/>
        <v>1424</v>
      </c>
      <c r="N206" s="21">
        <f t="shared" si="78"/>
        <v>1685</v>
      </c>
      <c r="O206" s="82">
        <f t="shared" si="78"/>
        <v>1218</v>
      </c>
    </row>
    <row r="207" spans="2:15" x14ac:dyDescent="0.25">
      <c r="C207" s="5" t="s">
        <v>26</v>
      </c>
      <c r="D207" s="6" t="s">
        <v>16</v>
      </c>
      <c r="E207" s="6" t="s">
        <v>276</v>
      </c>
      <c r="F207" s="8"/>
      <c r="G207" s="21">
        <f t="shared" si="77"/>
        <v>0</v>
      </c>
      <c r="H207" s="21">
        <f t="shared" si="77"/>
        <v>0</v>
      </c>
      <c r="I207" s="21">
        <f t="shared" si="79"/>
        <v>1001</v>
      </c>
      <c r="J207" s="21">
        <f t="shared" si="78"/>
        <v>1125</v>
      </c>
      <c r="K207" s="21">
        <f t="shared" si="78"/>
        <v>1100</v>
      </c>
      <c r="L207" s="21">
        <f t="shared" si="78"/>
        <v>1295</v>
      </c>
      <c r="M207" s="21">
        <f t="shared" si="78"/>
        <v>1721</v>
      </c>
      <c r="N207" s="21">
        <f t="shared" si="78"/>
        <v>2818</v>
      </c>
      <c r="O207" s="82">
        <f t="shared" si="78"/>
        <v>3121</v>
      </c>
    </row>
    <row r="208" spans="2:15" x14ac:dyDescent="0.25">
      <c r="C208" s="5" t="s">
        <v>27</v>
      </c>
      <c r="D208" s="6" t="s">
        <v>16</v>
      </c>
      <c r="E208" s="6" t="s">
        <v>273</v>
      </c>
      <c r="F208" s="8"/>
      <c r="G208" s="21">
        <f t="shared" si="77"/>
        <v>77279.019108280248</v>
      </c>
      <c r="H208" s="21">
        <f t="shared" si="77"/>
        <v>72716.999999999956</v>
      </c>
      <c r="I208" s="21">
        <f t="shared" si="79"/>
        <v>41804</v>
      </c>
      <c r="J208" s="21">
        <f t="shared" si="78"/>
        <v>51756.506666666653</v>
      </c>
      <c r="K208" s="21">
        <f t="shared" si="78"/>
        <v>32759</v>
      </c>
      <c r="L208" s="21">
        <f t="shared" si="78"/>
        <v>29260</v>
      </c>
      <c r="M208" s="21">
        <f t="shared" si="78"/>
        <v>16403</v>
      </c>
      <c r="N208" s="21">
        <f t="shared" si="78"/>
        <v>17485.7</v>
      </c>
      <c r="O208" s="82">
        <f t="shared" si="78"/>
        <v>19148</v>
      </c>
    </row>
    <row r="209" spans="3:15" x14ac:dyDescent="0.25">
      <c r="C209" s="5" t="s">
        <v>28</v>
      </c>
      <c r="D209" s="6" t="s">
        <v>16</v>
      </c>
      <c r="E209" s="6" t="s">
        <v>277</v>
      </c>
      <c r="F209" s="8"/>
      <c r="G209" s="21">
        <f t="shared" si="77"/>
        <v>0</v>
      </c>
      <c r="H209" s="21">
        <f t="shared" si="77"/>
        <v>0</v>
      </c>
      <c r="I209" s="21">
        <f t="shared" si="79"/>
        <v>0</v>
      </c>
      <c r="J209" s="221">
        <f>+J176*J63</f>
        <v>1124.5307443365696</v>
      </c>
      <c r="K209" s="21">
        <f t="shared" ref="K209:O210" si="80">+K176</f>
        <v>1071</v>
      </c>
      <c r="L209" s="21">
        <f t="shared" si="80"/>
        <v>1096</v>
      </c>
      <c r="M209" s="21">
        <f t="shared" si="80"/>
        <v>858</v>
      </c>
      <c r="N209" s="21">
        <f t="shared" si="80"/>
        <v>730</v>
      </c>
      <c r="O209" s="82">
        <f t="shared" si="80"/>
        <v>621</v>
      </c>
    </row>
    <row r="210" spans="3:15" x14ac:dyDescent="0.25">
      <c r="C210" s="5" t="s">
        <v>270</v>
      </c>
      <c r="D210" s="6" t="s">
        <v>16</v>
      </c>
      <c r="E210" s="6" t="s">
        <v>278</v>
      </c>
      <c r="F210" s="8"/>
      <c r="G210" s="21">
        <f t="shared" si="77"/>
        <v>0</v>
      </c>
      <c r="H210" s="21">
        <f t="shared" si="77"/>
        <v>0</v>
      </c>
      <c r="I210" s="21">
        <f t="shared" si="79"/>
        <v>0</v>
      </c>
      <c r="J210" s="221">
        <f>+J177*J69</f>
        <v>198663.15217391305</v>
      </c>
      <c r="K210" s="21">
        <f t="shared" si="80"/>
        <v>293328</v>
      </c>
      <c r="L210" s="21">
        <f t="shared" si="80"/>
        <v>506064</v>
      </c>
      <c r="M210" s="21">
        <f t="shared" si="80"/>
        <v>574576</v>
      </c>
      <c r="N210" s="21">
        <f t="shared" si="80"/>
        <v>653212</v>
      </c>
      <c r="O210" s="82">
        <f t="shared" si="80"/>
        <v>520553</v>
      </c>
    </row>
    <row r="211" spans="3:15" x14ac:dyDescent="0.25">
      <c r="C211" s="5" t="s">
        <v>29</v>
      </c>
      <c r="D211" s="6" t="s">
        <v>16</v>
      </c>
      <c r="E211" s="6" t="s">
        <v>32</v>
      </c>
      <c r="F211" s="8"/>
      <c r="G211" s="17"/>
      <c r="H211" s="17"/>
      <c r="I211" s="17"/>
      <c r="J211" s="17"/>
      <c r="K211" s="17"/>
      <c r="L211" s="17"/>
      <c r="M211" s="17"/>
      <c r="N211" s="17"/>
      <c r="O211" s="19"/>
    </row>
    <row r="212" spans="3:15" ht="13.5" thickBot="1" x14ac:dyDescent="0.35">
      <c r="C212" s="72" t="s">
        <v>111</v>
      </c>
      <c r="D212" s="75" t="s">
        <v>16</v>
      </c>
      <c r="E212" s="75" t="s">
        <v>32</v>
      </c>
      <c r="F212" s="8"/>
      <c r="G212" s="164">
        <f t="shared" ref="G212:O212" si="81">+SUM(G182:G211)</f>
        <v>25303635.55415909</v>
      </c>
      <c r="H212" s="164">
        <f t="shared" si="81"/>
        <v>25699514.005759064</v>
      </c>
      <c r="I212" s="164">
        <f t="shared" si="81"/>
        <v>28704998.932967659</v>
      </c>
      <c r="J212" s="164">
        <f t="shared" si="81"/>
        <v>25580975.294199422</v>
      </c>
      <c r="K212" s="164">
        <f t="shared" si="81"/>
        <v>24897696.918472189</v>
      </c>
      <c r="L212" s="164">
        <f t="shared" si="81"/>
        <v>23801581.313866314</v>
      </c>
      <c r="M212" s="164">
        <f t="shared" si="81"/>
        <v>25275219.229781579</v>
      </c>
      <c r="N212" s="164">
        <f t="shared" si="81"/>
        <v>25696734.516777165</v>
      </c>
      <c r="O212" s="164">
        <f t="shared" si="81"/>
        <v>24848280.251859464</v>
      </c>
    </row>
    <row r="213" spans="3:15" x14ac:dyDescent="0.25"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3:15" x14ac:dyDescent="0.25">
      <c r="C214" s="5" t="s">
        <v>11</v>
      </c>
      <c r="D214" s="6" t="s">
        <v>16</v>
      </c>
      <c r="E214" s="6" t="s">
        <v>279</v>
      </c>
      <c r="F214" s="8"/>
      <c r="G214" s="21">
        <f t="shared" ref="G214:O214" si="82">+G182/1000</f>
        <v>13747.957463026929</v>
      </c>
      <c r="H214" s="21">
        <f t="shared" si="82"/>
        <v>13557.54686813441</v>
      </c>
      <c r="I214" s="21">
        <f t="shared" si="82"/>
        <v>15909.249198613321</v>
      </c>
      <c r="J214" s="21">
        <f t="shared" si="82"/>
        <v>14099.390272180986</v>
      </c>
      <c r="K214" s="21">
        <f t="shared" si="82"/>
        <v>14258.116917505524</v>
      </c>
      <c r="L214" s="22">
        <f t="shared" si="82"/>
        <v>11944.685863066312</v>
      </c>
      <c r="M214" s="22">
        <f t="shared" si="82"/>
        <v>12204.18828768395</v>
      </c>
      <c r="N214" s="22">
        <f t="shared" si="82"/>
        <v>12268.09846984744</v>
      </c>
      <c r="O214" s="22">
        <f t="shared" si="82"/>
        <v>11614.937609720708</v>
      </c>
    </row>
    <row r="215" spans="3:15" x14ac:dyDescent="0.25">
      <c r="C215" s="5" t="s">
        <v>12</v>
      </c>
      <c r="D215" s="6" t="s">
        <v>16</v>
      </c>
      <c r="E215" s="6" t="s">
        <v>53</v>
      </c>
      <c r="F215" s="8"/>
      <c r="G215" s="21">
        <f t="shared" ref="G215:O215" si="83">+G183/1000</f>
        <v>99.644000000000005</v>
      </c>
      <c r="H215" s="21">
        <f t="shared" si="83"/>
        <v>86.692999999999998</v>
      </c>
      <c r="I215" s="21">
        <f t="shared" si="83"/>
        <v>96.186000000000007</v>
      </c>
      <c r="J215" s="21">
        <f t="shared" si="83"/>
        <v>94.790999999999997</v>
      </c>
      <c r="K215" s="21">
        <f t="shared" si="83"/>
        <v>121.56100000000001</v>
      </c>
      <c r="L215" s="22">
        <f t="shared" si="83"/>
        <v>142.37799999999999</v>
      </c>
      <c r="M215" s="22">
        <f t="shared" si="83"/>
        <v>148.54300000000001</v>
      </c>
      <c r="N215" s="22">
        <f t="shared" si="83"/>
        <v>135.29499999999999</v>
      </c>
      <c r="O215" s="22">
        <f t="shared" si="83"/>
        <v>112.881</v>
      </c>
    </row>
    <row r="216" spans="3:15" x14ac:dyDescent="0.25">
      <c r="C216" s="5" t="s">
        <v>13</v>
      </c>
      <c r="D216" s="6" t="s">
        <v>16</v>
      </c>
      <c r="E216" s="6" t="s">
        <v>53</v>
      </c>
      <c r="F216" s="8"/>
      <c r="G216" s="21">
        <f t="shared" ref="G216:O216" si="84">+G184/1000</f>
        <v>102.43600000000001</v>
      </c>
      <c r="H216" s="21">
        <f t="shared" si="84"/>
        <v>86.119</v>
      </c>
      <c r="I216" s="21">
        <f t="shared" si="84"/>
        <v>115.938</v>
      </c>
      <c r="J216" s="21">
        <f t="shared" si="84"/>
        <v>111.664</v>
      </c>
      <c r="K216" s="21">
        <f t="shared" si="84"/>
        <v>132.31800000000001</v>
      </c>
      <c r="L216" s="22">
        <f t="shared" si="84"/>
        <v>152.488</v>
      </c>
      <c r="M216" s="22">
        <f t="shared" si="84"/>
        <v>169.922</v>
      </c>
      <c r="N216" s="22">
        <f t="shared" si="84"/>
        <v>193.601</v>
      </c>
      <c r="O216" s="22">
        <f t="shared" si="84"/>
        <v>197.62200000000001</v>
      </c>
    </row>
    <row r="217" spans="3:15" x14ac:dyDescent="0.25">
      <c r="C217" s="5" t="s">
        <v>14</v>
      </c>
      <c r="D217" s="6" t="s">
        <v>16</v>
      </c>
      <c r="E217" s="6" t="s">
        <v>53</v>
      </c>
      <c r="F217" s="8"/>
      <c r="G217" s="21">
        <f t="shared" ref="G217:O217" si="85">+G185/1000</f>
        <v>34.116</v>
      </c>
      <c r="H217" s="21">
        <f t="shared" si="85"/>
        <v>23.148</v>
      </c>
      <c r="I217" s="21">
        <f t="shared" si="85"/>
        <v>21.757999999999999</v>
      </c>
      <c r="J217" s="21">
        <f t="shared" si="85"/>
        <v>26.488</v>
      </c>
      <c r="K217" s="21">
        <f t="shared" si="85"/>
        <v>33.914999999999999</v>
      </c>
      <c r="L217" s="22">
        <f t="shared" si="85"/>
        <v>40.088000000000001</v>
      </c>
      <c r="M217" s="22">
        <f t="shared" si="85"/>
        <v>33.795999999999999</v>
      </c>
      <c r="N217" s="22">
        <f t="shared" si="85"/>
        <v>32.948</v>
      </c>
      <c r="O217" s="22">
        <f t="shared" si="85"/>
        <v>23.094999999999999</v>
      </c>
    </row>
    <row r="218" spans="3:15" x14ac:dyDescent="0.25">
      <c r="C218" s="5" t="s">
        <v>15</v>
      </c>
      <c r="D218" s="6" t="s">
        <v>16</v>
      </c>
      <c r="E218" s="6" t="s">
        <v>53</v>
      </c>
      <c r="F218" s="8"/>
      <c r="G218" s="21">
        <f t="shared" ref="G218:O218" si="86">+G186/1000</f>
        <v>52.154000000000003</v>
      </c>
      <c r="H218" s="21">
        <f t="shared" si="86"/>
        <v>25.172000000000001</v>
      </c>
      <c r="I218" s="21">
        <f t="shared" si="86"/>
        <v>46.884</v>
      </c>
      <c r="J218" s="21">
        <f t="shared" si="86"/>
        <v>40.701000000000001</v>
      </c>
      <c r="K218" s="21">
        <f t="shared" si="86"/>
        <v>62.79</v>
      </c>
      <c r="L218" s="22">
        <f t="shared" si="86"/>
        <v>102.679</v>
      </c>
      <c r="M218" s="22">
        <f t="shared" si="86"/>
        <v>104.928</v>
      </c>
      <c r="N218" s="22">
        <f t="shared" si="86"/>
        <v>117.849</v>
      </c>
      <c r="O218" s="22">
        <f t="shared" si="86"/>
        <v>107.271</v>
      </c>
    </row>
    <row r="219" spans="3:15" x14ac:dyDescent="0.25">
      <c r="C219" s="5" t="s">
        <v>297</v>
      </c>
      <c r="D219" s="6" t="s">
        <v>16</v>
      </c>
      <c r="E219" s="6" t="s">
        <v>53</v>
      </c>
      <c r="F219" s="8"/>
      <c r="G219" s="21">
        <f t="shared" ref="G219:O219" si="87">+G187/1000</f>
        <v>4.7220000000000004</v>
      </c>
      <c r="H219" s="21">
        <f t="shared" si="87"/>
        <v>11.303000000000001</v>
      </c>
      <c r="I219" s="21">
        <f t="shared" si="87"/>
        <v>6.0170000000000003</v>
      </c>
      <c r="J219" s="21">
        <f t="shared" si="87"/>
        <v>15.031000000000001</v>
      </c>
      <c r="K219" s="21">
        <f t="shared" si="87"/>
        <v>10.666</v>
      </c>
      <c r="L219" s="22">
        <f t="shared" si="87"/>
        <v>24.172999999999998</v>
      </c>
      <c r="M219" s="22">
        <f t="shared" si="87"/>
        <v>28.579000000000001</v>
      </c>
      <c r="N219" s="22">
        <f t="shared" si="87"/>
        <v>29.026</v>
      </c>
      <c r="O219" s="22">
        <f t="shared" si="87"/>
        <v>24.402999999999999</v>
      </c>
    </row>
    <row r="220" spans="3:15" x14ac:dyDescent="0.25">
      <c r="C220" s="5" t="s">
        <v>298</v>
      </c>
      <c r="D220" s="6" t="s">
        <v>16</v>
      </c>
      <c r="E220" s="6" t="s">
        <v>53</v>
      </c>
      <c r="F220" s="8"/>
      <c r="G220" s="21">
        <f t="shared" ref="G220:O220" si="88">+G188/1000</f>
        <v>3.47</v>
      </c>
      <c r="H220" s="21">
        <f t="shared" si="88"/>
        <v>7.0540000000000003</v>
      </c>
      <c r="I220" s="21">
        <f t="shared" si="88"/>
        <v>7.4249999999999998</v>
      </c>
      <c r="J220" s="21">
        <f t="shared" si="88"/>
        <v>14.13</v>
      </c>
      <c r="K220" s="21">
        <f t="shared" si="88"/>
        <v>6.4249999999999998</v>
      </c>
      <c r="L220" s="22">
        <f t="shared" si="88"/>
        <v>19.463999999999999</v>
      </c>
      <c r="M220" s="22">
        <f t="shared" si="88"/>
        <v>31.484999999999999</v>
      </c>
      <c r="N220" s="22">
        <f t="shared" si="88"/>
        <v>30.050999999999998</v>
      </c>
      <c r="O220" s="22">
        <f t="shared" si="88"/>
        <v>26.678000000000001</v>
      </c>
    </row>
    <row r="221" spans="3:15" x14ac:dyDescent="0.25">
      <c r="C221" s="5" t="s">
        <v>299</v>
      </c>
      <c r="D221" s="6" t="s">
        <v>16</v>
      </c>
      <c r="E221" s="6" t="s">
        <v>53</v>
      </c>
      <c r="F221" s="8"/>
      <c r="G221" s="21">
        <f t="shared" ref="G221:O221" si="89">+G189/1000</f>
        <v>2.3919999999999999</v>
      </c>
      <c r="H221" s="21">
        <f t="shared" si="89"/>
        <v>2.016</v>
      </c>
      <c r="I221" s="21">
        <f t="shared" si="89"/>
        <v>0.48699999999999999</v>
      </c>
      <c r="J221" s="21">
        <f t="shared" si="89"/>
        <v>0.09</v>
      </c>
      <c r="K221" s="21">
        <f t="shared" si="89"/>
        <v>0.53300000000000003</v>
      </c>
      <c r="L221" s="22">
        <f t="shared" si="89"/>
        <v>2.3279999999999998</v>
      </c>
      <c r="M221" s="22">
        <f t="shared" si="89"/>
        <v>2.4540000000000002</v>
      </c>
      <c r="N221" s="22">
        <f t="shared" si="89"/>
        <v>1.208</v>
      </c>
      <c r="O221" s="22">
        <f t="shared" si="89"/>
        <v>1.165</v>
      </c>
    </row>
    <row r="222" spans="3:15" x14ac:dyDescent="0.25">
      <c r="C222" s="5" t="s">
        <v>300</v>
      </c>
      <c r="D222" s="6" t="s">
        <v>16</v>
      </c>
      <c r="E222" s="6" t="s">
        <v>53</v>
      </c>
      <c r="F222" s="8"/>
      <c r="G222" s="21">
        <f t="shared" ref="G222:O222" si="90">+G190/1000</f>
        <v>10.210000000000001</v>
      </c>
      <c r="H222" s="21">
        <f t="shared" si="90"/>
        <v>5.8170000000000002</v>
      </c>
      <c r="I222" s="21">
        <f t="shared" si="90"/>
        <v>2.2549999999999999</v>
      </c>
      <c r="J222" s="21">
        <f t="shared" si="90"/>
        <v>1.3859999999999999</v>
      </c>
      <c r="K222" s="21">
        <f t="shared" si="90"/>
        <v>2.9289999999999998</v>
      </c>
      <c r="L222" s="22">
        <f t="shared" si="90"/>
        <v>15.054</v>
      </c>
      <c r="M222" s="22">
        <f t="shared" si="90"/>
        <v>13.249000000000001</v>
      </c>
      <c r="N222" s="22">
        <f t="shared" si="90"/>
        <v>10.771000000000001</v>
      </c>
      <c r="O222" s="22">
        <f t="shared" si="90"/>
        <v>3.6579999999999999</v>
      </c>
    </row>
    <row r="223" spans="3:15" x14ac:dyDescent="0.25">
      <c r="C223" s="5" t="s">
        <v>263</v>
      </c>
      <c r="D223" s="6" t="s">
        <v>16</v>
      </c>
      <c r="E223" s="6" t="s">
        <v>280</v>
      </c>
      <c r="F223" s="8"/>
      <c r="G223" s="21">
        <f t="shared" ref="G223:O223" si="91">+G191/1000</f>
        <v>1465.601212</v>
      </c>
      <c r="H223" s="21">
        <f t="shared" si="91"/>
        <v>1797.5931399999988</v>
      </c>
      <c r="I223" s="21">
        <f t="shared" si="91"/>
        <v>1804.9606480000014</v>
      </c>
      <c r="J223" s="21">
        <f t="shared" si="91"/>
        <v>1824.5340829999998</v>
      </c>
      <c r="K223" s="21">
        <f t="shared" si="91"/>
        <v>1907.3406519999999</v>
      </c>
      <c r="L223" s="214">
        <f t="shared" si="91"/>
        <v>1798.8334905000004</v>
      </c>
      <c r="M223" s="214">
        <f t="shared" si="91"/>
        <v>1876.0611407191604</v>
      </c>
      <c r="N223" s="214">
        <f t="shared" si="91"/>
        <v>2310.8987121924129</v>
      </c>
      <c r="O223" s="214">
        <f t="shared" si="91"/>
        <v>2225.3258676652331</v>
      </c>
    </row>
    <row r="224" spans="3:15" x14ac:dyDescent="0.25">
      <c r="C224" s="5" t="s">
        <v>264</v>
      </c>
      <c r="D224" s="6" t="s">
        <v>16</v>
      </c>
      <c r="E224" s="6" t="s">
        <v>280</v>
      </c>
      <c r="F224" s="8"/>
      <c r="G224" s="21">
        <f t="shared" ref="G224:O224" si="92">+G192/1000</f>
        <v>362.21492440000003</v>
      </c>
      <c r="H224" s="21">
        <f t="shared" si="92"/>
        <v>438.34010899999998</v>
      </c>
      <c r="I224" s="21">
        <f t="shared" si="92"/>
        <v>439.71523599999983</v>
      </c>
      <c r="J224" s="21">
        <f t="shared" si="92"/>
        <v>344.77597300000002</v>
      </c>
      <c r="K224" s="21">
        <f t="shared" si="92"/>
        <v>341.83041299999996</v>
      </c>
      <c r="L224" s="214">
        <f t="shared" si="92"/>
        <v>290.74187409999996</v>
      </c>
      <c r="M224" s="214">
        <f t="shared" si="92"/>
        <v>334.50521000000003</v>
      </c>
      <c r="N224" s="214">
        <f t="shared" si="92"/>
        <v>319.56130325251996</v>
      </c>
      <c r="O224" s="214">
        <f t="shared" si="92"/>
        <v>313.67832970000001</v>
      </c>
    </row>
    <row r="225" spans="3:15" x14ac:dyDescent="0.25">
      <c r="C225" s="5" t="s">
        <v>265</v>
      </c>
      <c r="D225" s="6" t="s">
        <v>16</v>
      </c>
      <c r="E225" s="6" t="s">
        <v>280</v>
      </c>
      <c r="F225" s="8"/>
      <c r="G225" s="21">
        <f t="shared" ref="G225:O225" si="93">+G193/1000</f>
        <v>6075.2348499999998</v>
      </c>
      <c r="H225" s="21">
        <f t="shared" si="93"/>
        <v>6046.6319089999997</v>
      </c>
      <c r="I225" s="21">
        <f t="shared" si="93"/>
        <v>6322.7162230000013</v>
      </c>
      <c r="J225" s="21">
        <f t="shared" si="93"/>
        <v>5430.5033540000004</v>
      </c>
      <c r="K225" s="21">
        <f t="shared" si="93"/>
        <v>4451.496404999999</v>
      </c>
      <c r="L225" s="214">
        <f t="shared" si="93"/>
        <v>4971.1284900000001</v>
      </c>
      <c r="M225" s="214">
        <f t="shared" si="93"/>
        <v>5831.0633129999997</v>
      </c>
      <c r="N225" s="214">
        <f t="shared" si="93"/>
        <v>5623.5507929999967</v>
      </c>
      <c r="O225" s="214">
        <f t="shared" si="93"/>
        <v>6011.1892375000025</v>
      </c>
    </row>
    <row r="226" spans="3:15" x14ac:dyDescent="0.25">
      <c r="C226" s="5" t="s">
        <v>266</v>
      </c>
      <c r="D226" s="6" t="s">
        <v>16</v>
      </c>
      <c r="E226" s="6" t="s">
        <v>280</v>
      </c>
      <c r="F226" s="8"/>
      <c r="G226" s="21">
        <f t="shared" ref="G226:O226" si="94">+G194/1000</f>
        <v>2472.3601840000006</v>
      </c>
      <c r="H226" s="21">
        <f t="shared" si="94"/>
        <v>2702.0075930000003</v>
      </c>
      <c r="I226" s="21">
        <f t="shared" si="94"/>
        <v>3206.4397750000003</v>
      </c>
      <c r="J226" s="21">
        <f t="shared" si="94"/>
        <v>2819.3637940000003</v>
      </c>
      <c r="K226" s="21">
        <f t="shared" si="94"/>
        <v>2715.1628600000008</v>
      </c>
      <c r="L226" s="214">
        <f t="shared" si="94"/>
        <v>2981.3205599999997</v>
      </c>
      <c r="M226" s="214">
        <f t="shared" si="94"/>
        <v>2963.8499429999965</v>
      </c>
      <c r="N226" s="214">
        <f t="shared" si="94"/>
        <v>2702.0020014927977</v>
      </c>
      <c r="O226" s="214">
        <f t="shared" si="94"/>
        <v>2687.9056132735191</v>
      </c>
    </row>
    <row r="227" spans="3:15" x14ac:dyDescent="0.25">
      <c r="C227" s="5" t="s">
        <v>267</v>
      </c>
      <c r="D227" s="6" t="s">
        <v>16</v>
      </c>
      <c r="E227" s="6" t="s">
        <v>281</v>
      </c>
      <c r="F227" s="8"/>
      <c r="G227" s="21">
        <f t="shared" ref="G227:O227" si="95">+G195/1000</f>
        <v>8.5399999999999991</v>
      </c>
      <c r="H227" s="21">
        <f t="shared" si="95"/>
        <v>20.893000000000001</v>
      </c>
      <c r="I227" s="21">
        <f t="shared" si="95"/>
        <v>23.856000000000002</v>
      </c>
      <c r="J227" s="21">
        <f t="shared" si="95"/>
        <v>24.544</v>
      </c>
      <c r="K227" s="21">
        <f t="shared" si="95"/>
        <v>28.016999999999999</v>
      </c>
      <c r="L227" s="214">
        <f t="shared" si="95"/>
        <v>26.225000000000001</v>
      </c>
      <c r="M227" s="214">
        <f t="shared" si="95"/>
        <v>29.192</v>
      </c>
      <c r="N227" s="214">
        <f t="shared" si="95"/>
        <v>31.007000000000001</v>
      </c>
      <c r="O227" s="214">
        <f t="shared" si="95"/>
        <v>32.176000000000002</v>
      </c>
    </row>
    <row r="228" spans="3:15" x14ac:dyDescent="0.25">
      <c r="C228" s="5"/>
      <c r="F228" s="8"/>
      <c r="G228" s="21"/>
      <c r="H228" s="21"/>
      <c r="I228" s="21"/>
      <c r="J228" s="21"/>
      <c r="K228" s="21"/>
      <c r="L228" s="21"/>
      <c r="M228" s="21"/>
      <c r="N228" s="21"/>
      <c r="O228" s="20"/>
    </row>
    <row r="229" spans="3:15" x14ac:dyDescent="0.25">
      <c r="C229" s="5" t="s">
        <v>18</v>
      </c>
      <c r="D229" s="6" t="s">
        <v>16</v>
      </c>
      <c r="E229" s="6" t="s">
        <v>282</v>
      </c>
      <c r="F229" s="8"/>
      <c r="G229" s="21">
        <f t="shared" ref="G229:O229" si="96">+G197/1000</f>
        <v>202.30799999999999</v>
      </c>
      <c r="H229" s="21">
        <f t="shared" si="96"/>
        <v>324.39600000000002</v>
      </c>
      <c r="I229" s="21">
        <f t="shared" si="96"/>
        <v>238</v>
      </c>
      <c r="J229" s="21">
        <f t="shared" si="96"/>
        <v>208.792</v>
      </c>
      <c r="K229" s="21">
        <f t="shared" si="96"/>
        <v>201.41399999999999</v>
      </c>
      <c r="L229" s="21">
        <f t="shared" si="96"/>
        <v>654.50300000000004</v>
      </c>
      <c r="M229" s="21">
        <f t="shared" si="96"/>
        <v>748.81</v>
      </c>
      <c r="N229" s="21">
        <f t="shared" si="96"/>
        <v>1109.229</v>
      </c>
      <c r="O229" s="199">
        <f t="shared" si="96"/>
        <v>664.56399999999996</v>
      </c>
    </row>
    <row r="230" spans="3:15" x14ac:dyDescent="0.25">
      <c r="C230" s="5" t="s">
        <v>19</v>
      </c>
      <c r="D230" s="6" t="s">
        <v>16</v>
      </c>
      <c r="E230" s="6" t="s">
        <v>280</v>
      </c>
      <c r="F230" s="8"/>
      <c r="G230" s="21">
        <f t="shared" ref="G230:O230" si="97">+G198/1000</f>
        <v>106.3930125</v>
      </c>
      <c r="H230" s="21">
        <f t="shared" si="97"/>
        <v>87.509732500000027</v>
      </c>
      <c r="I230" s="21">
        <f t="shared" si="97"/>
        <v>56.694232000000007</v>
      </c>
      <c r="J230" s="21">
        <f t="shared" si="97"/>
        <v>40.477599999999995</v>
      </c>
      <c r="K230" s="21">
        <f t="shared" si="97"/>
        <v>78.184678999999946</v>
      </c>
      <c r="L230" s="21">
        <f t="shared" si="97"/>
        <v>27.408721199999999</v>
      </c>
      <c r="M230" s="21">
        <f t="shared" si="97"/>
        <v>52.131342052000008</v>
      </c>
      <c r="N230" s="21">
        <f t="shared" si="97"/>
        <v>26.654151999999996</v>
      </c>
      <c r="O230" s="199">
        <f t="shared" si="97"/>
        <v>60.338999999999999</v>
      </c>
    </row>
    <row r="231" spans="3:15" x14ac:dyDescent="0.25">
      <c r="C231" s="5" t="s">
        <v>20</v>
      </c>
      <c r="D231" s="6" t="s">
        <v>16</v>
      </c>
      <c r="E231" s="6" t="s">
        <v>280</v>
      </c>
      <c r="F231" s="8"/>
      <c r="G231" s="21">
        <f t="shared" ref="G231:O231" si="98">+G199/1000</f>
        <v>12.453787193651728</v>
      </c>
      <c r="H231" s="21">
        <f t="shared" si="98"/>
        <v>45.946376473489281</v>
      </c>
      <c r="I231" s="21">
        <f t="shared" si="98"/>
        <v>43.207650000000001</v>
      </c>
      <c r="J231" s="21">
        <f t="shared" si="98"/>
        <v>30.712169999999997</v>
      </c>
      <c r="K231" s="21">
        <f t="shared" si="98"/>
        <v>37.012560300000004</v>
      </c>
      <c r="L231" s="21">
        <f t="shared" si="98"/>
        <v>14.983331000000002</v>
      </c>
      <c r="M231" s="21">
        <f t="shared" si="98"/>
        <v>17.783037326470584</v>
      </c>
      <c r="N231" s="21">
        <f t="shared" si="98"/>
        <v>19.492092</v>
      </c>
      <c r="O231" s="199">
        <f t="shared" si="98"/>
        <v>31.770979999999998</v>
      </c>
    </row>
    <row r="232" spans="3:15" x14ac:dyDescent="0.25">
      <c r="C232" s="5" t="s">
        <v>21</v>
      </c>
      <c r="D232" s="6" t="s">
        <v>16</v>
      </c>
      <c r="E232" s="6" t="s">
        <v>280</v>
      </c>
      <c r="F232" s="8"/>
      <c r="G232" s="21">
        <f t="shared" ref="G232:O232" si="99">+G200/1000</f>
        <v>461.87110193023256</v>
      </c>
      <c r="H232" s="21">
        <f t="shared" si="99"/>
        <v>354.32627765116268</v>
      </c>
      <c r="I232" s="21">
        <f t="shared" si="99"/>
        <v>164.71939023255814</v>
      </c>
      <c r="J232" s="21">
        <f t="shared" si="99"/>
        <v>63.400718459302325</v>
      </c>
      <c r="K232" s="21">
        <f t="shared" si="99"/>
        <v>10.204235000000001</v>
      </c>
      <c r="L232" s="21">
        <f t="shared" si="99"/>
        <v>0</v>
      </c>
      <c r="M232" s="21">
        <f t="shared" si="99"/>
        <v>0</v>
      </c>
      <c r="N232" s="21">
        <f t="shared" si="99"/>
        <v>3.5188999999999998E-2</v>
      </c>
      <c r="O232" s="199">
        <f t="shared" si="99"/>
        <v>89.03761999999999</v>
      </c>
    </row>
    <row r="233" spans="3:15" x14ac:dyDescent="0.25">
      <c r="C233" s="5" t="s">
        <v>22</v>
      </c>
      <c r="D233" s="6" t="s">
        <v>16</v>
      </c>
      <c r="E233" s="6" t="s">
        <v>232</v>
      </c>
      <c r="F233" s="8"/>
      <c r="G233" s="21">
        <f t="shared" ref="G233:O233" si="100">+G201/1000</f>
        <v>0</v>
      </c>
      <c r="H233" s="21">
        <f t="shared" si="100"/>
        <v>0</v>
      </c>
      <c r="I233" s="21">
        <f t="shared" si="100"/>
        <v>0.88500000000000001</v>
      </c>
      <c r="J233" s="21">
        <f t="shared" si="100"/>
        <v>0.60899999999999999</v>
      </c>
      <c r="K233" s="21">
        <f t="shared" si="100"/>
        <v>0.59599999999999997</v>
      </c>
      <c r="L233" s="21">
        <f t="shared" si="100"/>
        <v>0.19900000000000001</v>
      </c>
      <c r="M233" s="21">
        <f t="shared" si="100"/>
        <v>3.1E-2</v>
      </c>
      <c r="N233" s="21">
        <f t="shared" si="100"/>
        <v>0</v>
      </c>
      <c r="O233" s="199">
        <f t="shared" si="100"/>
        <v>0.01</v>
      </c>
    </row>
    <row r="234" spans="3:15" x14ac:dyDescent="0.25">
      <c r="C234" s="5" t="s">
        <v>23</v>
      </c>
      <c r="D234" s="6" t="s">
        <v>16</v>
      </c>
      <c r="E234" s="6" t="s">
        <v>280</v>
      </c>
      <c r="F234" s="8"/>
      <c r="G234" s="21">
        <f t="shared" ref="G234:O234" si="101">+G202/1000</f>
        <v>0</v>
      </c>
      <c r="H234" s="21">
        <f t="shared" si="101"/>
        <v>0</v>
      </c>
      <c r="I234" s="21">
        <f t="shared" si="101"/>
        <v>93.910618901303522</v>
      </c>
      <c r="J234" s="21">
        <f t="shared" si="101"/>
        <v>93.153869974212782</v>
      </c>
      <c r="K234" s="21">
        <f t="shared" si="101"/>
        <v>99.357734999999991</v>
      </c>
      <c r="L234" s="21">
        <f t="shared" si="101"/>
        <v>6.7356999999999996</v>
      </c>
      <c r="M234" s="21">
        <f t="shared" si="101"/>
        <v>30.870270000000001</v>
      </c>
      <c r="N234" s="21">
        <f t="shared" si="101"/>
        <v>0</v>
      </c>
      <c r="O234" s="199">
        <f t="shared" si="101"/>
        <v>0</v>
      </c>
    </row>
    <row r="235" spans="3:15" x14ac:dyDescent="0.25">
      <c r="C235" s="5" t="s">
        <v>24</v>
      </c>
      <c r="D235" s="6" t="s">
        <v>16</v>
      </c>
      <c r="E235" s="6" t="s">
        <v>280</v>
      </c>
      <c r="F235" s="8"/>
      <c r="G235" s="21">
        <f t="shared" ref="G235:O235" si="102">+G203/1000</f>
        <v>0</v>
      </c>
      <c r="H235" s="21">
        <f t="shared" si="102"/>
        <v>0</v>
      </c>
      <c r="I235" s="21">
        <f t="shared" si="102"/>
        <v>31.672961220472441</v>
      </c>
      <c r="J235" s="21">
        <f t="shared" si="102"/>
        <v>19.144270000000002</v>
      </c>
      <c r="K235" s="21">
        <f t="shared" si="102"/>
        <v>40.329461666666681</v>
      </c>
      <c r="L235" s="21">
        <f t="shared" si="102"/>
        <v>14.864283999999998</v>
      </c>
      <c r="M235" s="21">
        <f t="shared" si="102"/>
        <v>12.930685999999994</v>
      </c>
      <c r="N235" s="21">
        <f t="shared" si="102"/>
        <v>10.178103991999999</v>
      </c>
      <c r="O235" s="199">
        <f t="shared" si="102"/>
        <v>19.345993999999997</v>
      </c>
    </row>
    <row r="236" spans="3:15" x14ac:dyDescent="0.25">
      <c r="C236" s="5" t="s">
        <v>268</v>
      </c>
      <c r="D236" s="6" t="s">
        <v>16</v>
      </c>
      <c r="E236" s="6" t="s">
        <v>53</v>
      </c>
      <c r="F236" s="8"/>
      <c r="G236" s="21">
        <f t="shared" ref="G236:O236" si="103">+G204/1000</f>
        <v>1.29</v>
      </c>
      <c r="H236" s="21">
        <f t="shared" si="103"/>
        <v>2.1850000000000001</v>
      </c>
      <c r="I236" s="21">
        <f t="shared" si="103"/>
        <v>2.048</v>
      </c>
      <c r="J236" s="21">
        <f t="shared" si="103"/>
        <v>1.222</v>
      </c>
      <c r="K236" s="21">
        <f t="shared" si="103"/>
        <v>1.5029999999999999</v>
      </c>
      <c r="L236" s="21">
        <f t="shared" si="103"/>
        <v>1.3979999999999999</v>
      </c>
      <c r="M236" s="21">
        <f t="shared" si="103"/>
        <v>0.99199999999999999</v>
      </c>
      <c r="N236" s="21">
        <f t="shared" si="103"/>
        <v>2.125</v>
      </c>
      <c r="O236" s="199">
        <f t="shared" si="103"/>
        <v>2.8919999999999999</v>
      </c>
    </row>
    <row r="237" spans="3:15" x14ac:dyDescent="0.25">
      <c r="C237" s="5" t="s">
        <v>269</v>
      </c>
      <c r="D237" s="6" t="s">
        <v>16</v>
      </c>
      <c r="E237" s="6" t="s">
        <v>53</v>
      </c>
      <c r="F237" s="8"/>
      <c r="G237" s="21">
        <f t="shared" ref="G237:O237" si="104">+G205/1000</f>
        <v>0</v>
      </c>
      <c r="H237" s="21">
        <f t="shared" si="104"/>
        <v>0</v>
      </c>
      <c r="I237" s="21">
        <f t="shared" si="104"/>
        <v>25.202000000000002</v>
      </c>
      <c r="J237" s="21">
        <f t="shared" si="104"/>
        <v>22.047000000000001</v>
      </c>
      <c r="K237" s="21">
        <f t="shared" si="104"/>
        <v>26.606999999999999</v>
      </c>
      <c r="L237" s="21">
        <f t="shared" si="104"/>
        <v>30.963000000000001</v>
      </c>
      <c r="M237" s="21">
        <f t="shared" si="104"/>
        <v>44.872999999999998</v>
      </c>
      <c r="N237" s="21">
        <f t="shared" si="104"/>
        <v>47.222999999999999</v>
      </c>
      <c r="O237" s="199">
        <f t="shared" si="104"/>
        <v>53.673999999999999</v>
      </c>
    </row>
    <row r="238" spans="3:15" x14ac:dyDescent="0.25">
      <c r="C238" s="5" t="s">
        <v>25</v>
      </c>
      <c r="D238" s="6" t="s">
        <v>16</v>
      </c>
      <c r="E238" s="6" t="s">
        <v>283</v>
      </c>
      <c r="F238" s="8"/>
      <c r="G238" s="21">
        <f t="shared" ref="G238:O238" si="105">+G206/1000</f>
        <v>0.98799999999999999</v>
      </c>
      <c r="H238" s="21">
        <f t="shared" si="105"/>
        <v>2.0990000000000002</v>
      </c>
      <c r="I238" s="21">
        <f t="shared" si="105"/>
        <v>1.9670000000000001</v>
      </c>
      <c r="J238" s="21">
        <f t="shared" si="105"/>
        <v>1.355</v>
      </c>
      <c r="K238" s="21">
        <f t="shared" si="105"/>
        <v>1.129</v>
      </c>
      <c r="L238" s="21">
        <f t="shared" si="105"/>
        <v>1.224</v>
      </c>
      <c r="M238" s="21">
        <f t="shared" si="105"/>
        <v>1.4239999999999999</v>
      </c>
      <c r="N238" s="21">
        <f t="shared" si="105"/>
        <v>1.6850000000000001</v>
      </c>
      <c r="O238" s="199">
        <f t="shared" si="105"/>
        <v>1.218</v>
      </c>
    </row>
    <row r="239" spans="3:15" x14ac:dyDescent="0.25">
      <c r="C239" s="5" t="s">
        <v>26</v>
      </c>
      <c r="D239" s="6" t="s">
        <v>16</v>
      </c>
      <c r="E239" s="6" t="s">
        <v>283</v>
      </c>
      <c r="F239" s="8"/>
      <c r="G239" s="21">
        <f t="shared" ref="G239:O239" si="106">+G207/1000</f>
        <v>0</v>
      </c>
      <c r="H239" s="21">
        <f t="shared" si="106"/>
        <v>0</v>
      </c>
      <c r="I239" s="21">
        <f t="shared" si="106"/>
        <v>1.0009999999999999</v>
      </c>
      <c r="J239" s="21">
        <f t="shared" si="106"/>
        <v>1.125</v>
      </c>
      <c r="K239" s="21">
        <f t="shared" si="106"/>
        <v>1.1000000000000001</v>
      </c>
      <c r="L239" s="21">
        <f t="shared" si="106"/>
        <v>1.2949999999999999</v>
      </c>
      <c r="M239" s="21">
        <f t="shared" si="106"/>
        <v>1.7210000000000001</v>
      </c>
      <c r="N239" s="21">
        <f t="shared" si="106"/>
        <v>2.8180000000000001</v>
      </c>
      <c r="O239" s="199">
        <f t="shared" si="106"/>
        <v>3.121</v>
      </c>
    </row>
    <row r="240" spans="3:15" x14ac:dyDescent="0.25">
      <c r="C240" s="5" t="s">
        <v>27</v>
      </c>
      <c r="D240" s="6" t="s">
        <v>16</v>
      </c>
      <c r="E240" s="6" t="s">
        <v>280</v>
      </c>
      <c r="F240" s="8"/>
      <c r="G240" s="21">
        <f t="shared" ref="G240:O240" si="107">+G208/1000</f>
        <v>77.279019108280252</v>
      </c>
      <c r="H240" s="21">
        <f t="shared" si="107"/>
        <v>72.716999999999956</v>
      </c>
      <c r="I240" s="21">
        <f t="shared" si="107"/>
        <v>41.804000000000002</v>
      </c>
      <c r="J240" s="21">
        <f t="shared" si="107"/>
        <v>51.756506666666652</v>
      </c>
      <c r="K240" s="21">
        <f t="shared" si="107"/>
        <v>32.759</v>
      </c>
      <c r="L240" s="21">
        <f t="shared" si="107"/>
        <v>29.26</v>
      </c>
      <c r="M240" s="21">
        <f t="shared" si="107"/>
        <v>16.402999999999999</v>
      </c>
      <c r="N240" s="21">
        <f t="shared" si="107"/>
        <v>17.485700000000001</v>
      </c>
      <c r="O240" s="199">
        <f t="shared" si="107"/>
        <v>19.148</v>
      </c>
    </row>
    <row r="241" spans="2:15" x14ac:dyDescent="0.25">
      <c r="C241" s="5" t="s">
        <v>28</v>
      </c>
      <c r="D241" s="6" t="s">
        <v>16</v>
      </c>
      <c r="E241" s="6" t="s">
        <v>284</v>
      </c>
      <c r="F241" s="8"/>
      <c r="G241" s="21">
        <f t="shared" ref="G241:O241" si="108">+G209/1000</f>
        <v>0</v>
      </c>
      <c r="H241" s="21">
        <f t="shared" si="108"/>
        <v>0</v>
      </c>
      <c r="I241" s="21">
        <f t="shared" si="108"/>
        <v>0</v>
      </c>
      <c r="J241" s="21">
        <f t="shared" si="108"/>
        <v>1.1245307443365695</v>
      </c>
      <c r="K241" s="21">
        <f t="shared" si="108"/>
        <v>1.071</v>
      </c>
      <c r="L241" s="21">
        <f t="shared" si="108"/>
        <v>1.0960000000000001</v>
      </c>
      <c r="M241" s="21">
        <f t="shared" si="108"/>
        <v>0.85799999999999998</v>
      </c>
      <c r="N241" s="21">
        <f t="shared" si="108"/>
        <v>0.73</v>
      </c>
      <c r="O241" s="199">
        <f t="shared" si="108"/>
        <v>0.621</v>
      </c>
    </row>
    <row r="242" spans="2:15" x14ac:dyDescent="0.25">
      <c r="C242" s="5" t="s">
        <v>270</v>
      </c>
      <c r="D242" s="6" t="s">
        <v>16</v>
      </c>
      <c r="E242" s="6" t="s">
        <v>283</v>
      </c>
      <c r="F242" s="8"/>
      <c r="G242" s="21">
        <f t="shared" ref="G242:O242" si="109">+G210/1000</f>
        <v>0</v>
      </c>
      <c r="H242" s="21">
        <f t="shared" si="109"/>
        <v>0</v>
      </c>
      <c r="I242" s="21">
        <f t="shared" si="109"/>
        <v>0</v>
      </c>
      <c r="J242" s="21">
        <f t="shared" si="109"/>
        <v>198.66315217391306</v>
      </c>
      <c r="K242" s="21">
        <f t="shared" si="109"/>
        <v>293.32799999999997</v>
      </c>
      <c r="L242" s="21">
        <f t="shared" si="109"/>
        <v>506.06400000000002</v>
      </c>
      <c r="M242" s="21">
        <f t="shared" si="109"/>
        <v>574.57600000000002</v>
      </c>
      <c r="N242" s="21">
        <f t="shared" si="109"/>
        <v>653.21199999999999</v>
      </c>
      <c r="O242" s="199">
        <f t="shared" si="109"/>
        <v>520.553</v>
      </c>
    </row>
    <row r="243" spans="2:15" x14ac:dyDescent="0.25">
      <c r="C243" s="5" t="s">
        <v>29</v>
      </c>
      <c r="D243" s="6" t="s">
        <v>16</v>
      </c>
      <c r="E243" s="6" t="s">
        <v>54</v>
      </c>
      <c r="F243" s="8"/>
      <c r="G243" s="17"/>
      <c r="H243" s="17"/>
      <c r="I243" s="17"/>
      <c r="J243" s="17"/>
      <c r="K243" s="17"/>
      <c r="L243" s="17"/>
      <c r="M243" s="17"/>
      <c r="N243" s="17"/>
      <c r="O243" s="19"/>
    </row>
    <row r="244" spans="2:15" ht="13.5" thickBot="1" x14ac:dyDescent="0.35">
      <c r="C244" s="72" t="s">
        <v>111</v>
      </c>
      <c r="D244" s="75" t="s">
        <v>16</v>
      </c>
      <c r="E244" s="75" t="s">
        <v>54</v>
      </c>
      <c r="F244" s="8"/>
      <c r="G244" s="164">
        <f>+SUM(G214:G243)</f>
        <v>25303.635554159093</v>
      </c>
      <c r="H244" s="164">
        <f t="shared" ref="H244:O244" si="110">+SUM(H214:H243)</f>
        <v>25699.514005759058</v>
      </c>
      <c r="I244" s="164">
        <f t="shared" si="110"/>
        <v>28704.998932967657</v>
      </c>
      <c r="J244" s="164">
        <f t="shared" si="110"/>
        <v>25580.975294199423</v>
      </c>
      <c r="K244" s="164">
        <f t="shared" si="110"/>
        <v>24897.696918472193</v>
      </c>
      <c r="L244" s="164">
        <f t="shared" si="110"/>
        <v>23801.581313866311</v>
      </c>
      <c r="M244" s="164">
        <f t="shared" si="110"/>
        <v>25275.219229781571</v>
      </c>
      <c r="N244" s="164">
        <f t="shared" si="110"/>
        <v>25696.734516777167</v>
      </c>
      <c r="O244" s="164">
        <f t="shared" si="110"/>
        <v>24848.280251859458</v>
      </c>
    </row>
    <row r="246" spans="2:15" ht="13" x14ac:dyDescent="0.3">
      <c r="B246" s="3" t="s">
        <v>193</v>
      </c>
      <c r="C246" s="1"/>
      <c r="D246" s="2"/>
      <c r="E246" s="2"/>
      <c r="F246" s="8"/>
      <c r="G246" s="146"/>
      <c r="H246" s="146"/>
      <c r="I246" s="146"/>
      <c r="J246" s="146"/>
      <c r="K246" s="146"/>
      <c r="L246" s="146"/>
      <c r="M246" s="146"/>
      <c r="N246" s="146"/>
      <c r="O246" s="146"/>
    </row>
    <row r="247" spans="2:15" x14ac:dyDescent="0.25">
      <c r="G247" s="8"/>
      <c r="H247" s="8"/>
      <c r="I247" s="8"/>
      <c r="J247" s="8"/>
      <c r="K247" s="8"/>
      <c r="L247" s="8"/>
      <c r="M247" s="8"/>
      <c r="N247" s="8"/>
      <c r="O247" s="8"/>
    </row>
    <row r="248" spans="2:15" x14ac:dyDescent="0.25">
      <c r="C248" s="4" t="s">
        <v>197</v>
      </c>
      <c r="D248" s="6" t="s">
        <v>16</v>
      </c>
      <c r="E248" s="6" t="s">
        <v>56</v>
      </c>
      <c r="G248" s="150">
        <v>2796.9181600000002</v>
      </c>
      <c r="H248" s="150">
        <v>2794.2794599999997</v>
      </c>
      <c r="I248" s="150">
        <v>3308.3048400000002</v>
      </c>
      <c r="J248" s="150">
        <v>3218.7748799999999</v>
      </c>
      <c r="K248" s="150">
        <v>3532.5621300000003</v>
      </c>
      <c r="L248" s="150">
        <v>4085.9436900000001</v>
      </c>
      <c r="M248" s="150">
        <v>5015.0170699999999</v>
      </c>
      <c r="N248" s="150">
        <v>5910.5067399999998</v>
      </c>
      <c r="O248" s="150">
        <v>5794.7223199999999</v>
      </c>
    </row>
    <row r="249" spans="2:15" x14ac:dyDescent="0.25">
      <c r="C249" s="18" t="s">
        <v>198</v>
      </c>
      <c r="D249" s="9" t="s">
        <v>16</v>
      </c>
      <c r="E249" s="9" t="s">
        <v>56</v>
      </c>
      <c r="G249" s="151">
        <v>921.91938000000005</v>
      </c>
      <c r="H249" s="151">
        <v>931.42646999999999</v>
      </c>
      <c r="I249" s="151">
        <v>1102.13428</v>
      </c>
      <c r="J249" s="151">
        <v>1072.79018</v>
      </c>
      <c r="K249" s="151">
        <v>1177.5210500000001</v>
      </c>
      <c r="L249" s="151">
        <v>1362.76494</v>
      </c>
      <c r="M249" s="151">
        <v>1672.8759700000001</v>
      </c>
      <c r="N249" s="151">
        <v>1970.0527500000001</v>
      </c>
      <c r="O249" s="151">
        <v>1931.5725</v>
      </c>
    </row>
    <row r="250" spans="2:15" ht="13" x14ac:dyDescent="0.3">
      <c r="C250" s="7" t="s">
        <v>194</v>
      </c>
      <c r="D250" s="168" t="s">
        <v>16</v>
      </c>
      <c r="E250" s="168" t="s">
        <v>56</v>
      </c>
      <c r="G250" s="11">
        <f>+SUM(G248:G249)</f>
        <v>3718.8375400000004</v>
      </c>
      <c r="H250" s="11">
        <f t="shared" ref="H250:O250" si="111">+SUM(H248:H249)</f>
        <v>3725.7059299999996</v>
      </c>
      <c r="I250" s="11">
        <f t="shared" si="111"/>
        <v>4410.43912</v>
      </c>
      <c r="J250" s="11">
        <f t="shared" si="111"/>
        <v>4291.5650599999999</v>
      </c>
      <c r="K250" s="11">
        <f t="shared" si="111"/>
        <v>4710.0831800000005</v>
      </c>
      <c r="L250" s="11">
        <f t="shared" si="111"/>
        <v>5448.7086300000001</v>
      </c>
      <c r="M250" s="11">
        <f t="shared" si="111"/>
        <v>6687.8930399999999</v>
      </c>
      <c r="N250" s="11">
        <f t="shared" si="111"/>
        <v>7880.5594899999996</v>
      </c>
      <c r="O250" s="11">
        <f t="shared" si="111"/>
        <v>7726.2948200000001</v>
      </c>
    </row>
    <row r="252" spans="2:15" x14ac:dyDescent="0.25">
      <c r="C252" s="4" t="s">
        <v>294</v>
      </c>
      <c r="D252" s="6" t="s">
        <v>16</v>
      </c>
      <c r="E252" s="6" t="s">
        <v>56</v>
      </c>
      <c r="G252" s="150">
        <v>5429.5731999999998</v>
      </c>
      <c r="H252" s="150">
        <v>4059.1874700000003</v>
      </c>
      <c r="I252" s="150">
        <v>6599.0725499999999</v>
      </c>
      <c r="J252" s="150">
        <v>4103.17749</v>
      </c>
      <c r="K252" s="150">
        <v>4631.1377899999998</v>
      </c>
      <c r="L252" s="150">
        <v>4454.4290599999995</v>
      </c>
      <c r="M252" s="150">
        <v>3957.64723</v>
      </c>
      <c r="N252" s="150">
        <v>6236.1438200000002</v>
      </c>
      <c r="O252" s="150">
        <v>8841.1057000000001</v>
      </c>
    </row>
    <row r="254" spans="2:15" x14ac:dyDescent="0.25">
      <c r="G254" s="199"/>
      <c r="H254" s="199"/>
      <c r="I254" s="199"/>
      <c r="J254" s="199"/>
      <c r="K254" s="199"/>
      <c r="L254" s="199"/>
      <c r="M254" s="199"/>
      <c r="N254" s="199"/>
      <c r="O254" s="199"/>
    </row>
    <row r="255" spans="2:15" x14ac:dyDescent="0.25"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2:15" x14ac:dyDescent="0.25"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7:15" x14ac:dyDescent="0.25">
      <c r="G257" s="8"/>
      <c r="H257" s="205"/>
      <c r="I257" s="205"/>
      <c r="J257" s="205"/>
      <c r="K257" s="205"/>
      <c r="L257" s="205"/>
      <c r="M257" s="205"/>
      <c r="N257" s="205"/>
      <c r="O257" s="205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0688-3290-43AC-80AB-124C9A4B6B0D}">
  <sheetPr>
    <tabColor rgb="FF002060"/>
  </sheetPr>
  <dimension ref="A1"/>
  <sheetViews>
    <sheetView workbookViewId="0">
      <selection activeCell="J18" sqref="J18"/>
    </sheetView>
  </sheetViews>
  <sheetFormatPr defaultColWidth="10.75" defaultRowHeight="14" x14ac:dyDescent="0.3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A756-9ABC-40F7-AA3C-09C01FF17EE4}">
  <dimension ref="A1:Q29"/>
  <sheetViews>
    <sheetView showGridLines="0" zoomScale="70" zoomScaleNormal="70" workbookViewId="0">
      <selection activeCell="M9" sqref="M9"/>
    </sheetView>
  </sheetViews>
  <sheetFormatPr defaultColWidth="11.33203125" defaultRowHeight="14" x14ac:dyDescent="0.3"/>
  <cols>
    <col min="1" max="1" width="9.83203125" style="117" customWidth="1"/>
    <col min="2" max="2" width="14.58203125" style="117" customWidth="1"/>
    <col min="3" max="3" width="11.33203125" style="117"/>
    <col min="4" max="4" width="15.33203125" style="117" customWidth="1"/>
    <col min="5" max="5" width="15.58203125" style="117" customWidth="1"/>
    <col min="6" max="6" width="15.75" style="117" customWidth="1"/>
    <col min="7" max="7" width="12.25" style="117" customWidth="1"/>
    <col min="8" max="8" width="17.33203125" style="117" customWidth="1"/>
    <col min="9" max="9" width="16.25" style="117" customWidth="1"/>
    <col min="10" max="10" width="13.33203125" style="117" customWidth="1"/>
    <col min="11" max="11" width="12.83203125" style="117" customWidth="1"/>
    <col min="12" max="13" width="11.33203125" style="117"/>
    <col min="14" max="14" width="21.83203125" style="117" customWidth="1"/>
    <col min="15" max="15" width="23.58203125" style="117" customWidth="1"/>
    <col min="16" max="16384" width="11.33203125" style="117"/>
  </cols>
  <sheetData>
    <row r="1" spans="1:17" x14ac:dyDescent="0.3">
      <c r="A1" s="4"/>
      <c r="B1" s="6"/>
      <c r="C1" s="54" t="s">
        <v>95</v>
      </c>
      <c r="D1" s="437" t="s">
        <v>237</v>
      </c>
      <c r="E1" s="438"/>
      <c r="F1" s="438"/>
      <c r="G1" s="439" t="s">
        <v>236</v>
      </c>
      <c r="H1" s="440"/>
      <c r="I1" s="440"/>
      <c r="J1" s="437" t="s">
        <v>94</v>
      </c>
      <c r="K1" s="441"/>
      <c r="L1" s="439" t="s">
        <v>238</v>
      </c>
      <c r="M1" s="440"/>
      <c r="N1" s="55" t="s">
        <v>239</v>
      </c>
      <c r="O1" s="54" t="s">
        <v>93</v>
      </c>
    </row>
    <row r="2" spans="1:17" ht="39" x14ac:dyDescent="0.3">
      <c r="A2" s="52" t="s">
        <v>92</v>
      </c>
      <c r="B2" s="52" t="s">
        <v>91</v>
      </c>
      <c r="C2" s="52" t="s">
        <v>235</v>
      </c>
      <c r="D2" s="52" t="s">
        <v>90</v>
      </c>
      <c r="E2" s="52" t="s">
        <v>88</v>
      </c>
      <c r="F2" s="52" t="s">
        <v>89</v>
      </c>
      <c r="G2" s="52" t="s">
        <v>85</v>
      </c>
      <c r="H2" s="52" t="s">
        <v>83</v>
      </c>
      <c r="I2" s="52" t="s">
        <v>84</v>
      </c>
      <c r="J2" s="52" t="s">
        <v>87</v>
      </c>
      <c r="K2" s="52" t="s">
        <v>86</v>
      </c>
      <c r="L2" s="52" t="s">
        <v>82</v>
      </c>
      <c r="M2" s="52" t="s">
        <v>81</v>
      </c>
      <c r="N2" s="53" t="s">
        <v>82</v>
      </c>
      <c r="O2" s="52" t="s">
        <v>80</v>
      </c>
      <c r="Q2" s="389"/>
    </row>
    <row r="3" spans="1:17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7" x14ac:dyDescent="0.3">
      <c r="A5" s="29"/>
      <c r="B5" s="29" t="s">
        <v>76</v>
      </c>
      <c r="C5" s="29"/>
      <c r="D5" s="29"/>
      <c r="E5" s="29"/>
      <c r="F5" s="29"/>
      <c r="G5" s="29"/>
      <c r="H5" s="29"/>
      <c r="I5" s="29"/>
      <c r="J5" s="29"/>
      <c r="K5" s="29"/>
      <c r="L5" s="43"/>
      <c r="M5" s="43"/>
      <c r="N5" s="43"/>
      <c r="O5" s="48">
        <v>10000</v>
      </c>
    </row>
    <row r="6" spans="1:17" x14ac:dyDescent="0.3">
      <c r="A6" s="4"/>
      <c r="B6" s="6">
        <v>2009</v>
      </c>
      <c r="C6" s="38">
        <f>AVERAGEIF('Macro mensual'!$B$4:$B$147,$B6,'Macro mensual'!H$4:H$147)</f>
        <v>3.0115024426596797</v>
      </c>
      <c r="D6" s="42">
        <f>AVERAGEIF('Macro mensual'!$B$4:$B$147,$B6,'Macro mensual'!C$4:C$147)</f>
        <v>89.613510333333352</v>
      </c>
      <c r="E6" s="38">
        <f>AVERAGEIF('Macro mensual'!$B$4:$B$147,$B6,'Macro mensual'!D$4:D$147)</f>
        <v>100.18228091666667</v>
      </c>
      <c r="F6" s="38">
        <f>AVERAGEIF('Macro mensual'!$B$4:$B$147,$B6,'Macro mensual'!E$4:E$147)</f>
        <v>96.620924916666681</v>
      </c>
      <c r="G6" s="38">
        <f t="shared" ref="G6:G16" si="0">(D6/D$8)/($C6/$C$8)*100</f>
        <v>84.454997000137851</v>
      </c>
      <c r="H6" s="38">
        <f t="shared" ref="H6:H16" si="1">(E6/E$8)/($C6/$C$8)*100</f>
        <v>95.22679861888129</v>
      </c>
      <c r="I6" s="38">
        <f t="shared" ref="I6:I16" si="2">(F6/F$8)/($C6/$C$8)*100</f>
        <v>87.977708117564475</v>
      </c>
      <c r="J6" s="38">
        <f>AVERAGEIF('Macro mensual'!$B$4:$B$147,$B6,'Macro mensual'!F$4:F$147)</f>
        <v>100.00000175000001</v>
      </c>
      <c r="K6" s="38">
        <f>AVERAGEIF('Macro mensual'!$B$4:$B$147,$B6,'Macro mensual'!G$4:G$147)</f>
        <v>93.502395253609123</v>
      </c>
      <c r="L6" s="38">
        <f t="shared" ref="L6:L16" si="3">(J6/$J$8)/(C6/$C$8)*100</f>
        <v>87.138680138869802</v>
      </c>
      <c r="M6" s="38">
        <f>J6/$J$8*100</f>
        <v>95.282803066611848</v>
      </c>
      <c r="N6" s="37">
        <f t="shared" ref="N6:N16" si="4">+L6</f>
        <v>87.138680138869802</v>
      </c>
      <c r="O6" s="38"/>
    </row>
    <row r="7" spans="1:17" x14ac:dyDescent="0.3">
      <c r="A7" s="4"/>
      <c r="B7" s="6">
        <v>2010</v>
      </c>
      <c r="C7" s="38">
        <f>AVERAGEIF('Macro mensual'!$B$4:$B$147,$B7,'Macro mensual'!H$4:H$147)</f>
        <v>2.8251107341187285</v>
      </c>
      <c r="D7" s="42">
        <f>AVERAGEIF('Macro mensual'!$B$4:$B$147,$B7,'Macro mensual'!C$4:C$147)</f>
        <v>91.254999833333329</v>
      </c>
      <c r="E7" s="38">
        <f>AVERAGEIF('Macro mensual'!$B$4:$B$147,$B7,'Macro mensual'!D$4:D$147)</f>
        <v>96.66296475</v>
      </c>
      <c r="F7" s="38">
        <f>AVERAGEIF('Macro mensual'!$B$4:$B$147,$B7,'Macro mensual'!E$4:E$147)</f>
        <v>97.711687583333344</v>
      </c>
      <c r="G7" s="38">
        <f t="shared" si="0"/>
        <v>91.676130505455106</v>
      </c>
      <c r="H7" s="38">
        <f t="shared" si="1"/>
        <v>97.943613945563001</v>
      </c>
      <c r="I7" s="38">
        <f t="shared" si="2"/>
        <v>94.840909952219349</v>
      </c>
      <c r="J7" s="38">
        <f>AVERAGEIF('Macro mensual'!$B$4:$B$147,$B7,'Macro mensual'!F$4:F$147)</f>
        <v>101.52952908333333</v>
      </c>
      <c r="K7" s="38">
        <f>AVERAGEIF('Macro mensual'!$B$4:$B$147,$B7,'Macro mensual'!G$4:G$147)</f>
        <v>94.932539921306912</v>
      </c>
      <c r="L7" s="38">
        <f t="shared" si="3"/>
        <v>94.308554054929999</v>
      </c>
      <c r="M7" s="38">
        <f t="shared" ref="M7:M16" si="5">J7/$J$8*100</f>
        <v>96.74017955797774</v>
      </c>
      <c r="N7" s="37">
        <f t="shared" si="4"/>
        <v>94.308554054929999</v>
      </c>
      <c r="O7" s="47">
        <f>AVERAGEIF('Macro mensual'!$B$4:$B$147,$B7,'Macro mensual'!I$4:I$147)/$O$5</f>
        <v>1.7213991211559858E-2</v>
      </c>
      <c r="P7" s="246"/>
      <c r="Q7" s="246"/>
    </row>
    <row r="8" spans="1:17" x14ac:dyDescent="0.3">
      <c r="A8" s="4"/>
      <c r="B8" s="6">
        <v>2011</v>
      </c>
      <c r="C8" s="39">
        <f>AVERAGEIF('Macro mensual'!$B$4:$B$147,$B8,'Macro mensual'!H$4:H$147)</f>
        <v>2.7540997918049412</v>
      </c>
      <c r="D8" s="42">
        <f>AVERAGEIF('Macro mensual'!$B$4:$B$147,$B8,'Macro mensual'!C$4:C$147)</f>
        <v>97.038615499999992</v>
      </c>
      <c r="E8" s="38">
        <f>AVERAGEIF('Macro mensual'!$B$4:$B$147,$B8,'Macro mensual'!D$4:D$147)</f>
        <v>96.211765416666665</v>
      </c>
      <c r="F8" s="38">
        <f>AVERAGEIF('Macro mensual'!$B$4:$B$147,$B8,'Macro mensual'!E$4:E$147)</f>
        <v>100.437293</v>
      </c>
      <c r="G8" s="38">
        <f t="shared" si="0"/>
        <v>100</v>
      </c>
      <c r="H8" s="38">
        <f t="shared" si="1"/>
        <v>100</v>
      </c>
      <c r="I8" s="38">
        <f t="shared" si="2"/>
        <v>100</v>
      </c>
      <c r="J8" s="38">
        <f>AVERAGEIF('Macro mensual'!$B$4:$B$147,$B8,'Macro mensual'!F$4:F$147)</f>
        <v>104.95073458333336</v>
      </c>
      <c r="K8" s="38">
        <f>AVERAGEIF('Macro mensual'!$B$4:$B$147,$B8,'Macro mensual'!G$4:G$147)</f>
        <v>98.131448954374264</v>
      </c>
      <c r="L8" s="38">
        <f t="shared" si="3"/>
        <v>100</v>
      </c>
      <c r="M8" s="38">
        <f t="shared" si="5"/>
        <v>100</v>
      </c>
      <c r="N8" s="37">
        <f t="shared" si="4"/>
        <v>100</v>
      </c>
      <c r="O8" s="47">
        <f>AVERAGEIF('Macro mensual'!$B$4:$B$147,$B8,'Macro mensual'!I$4:I$147)/$O$5</f>
        <v>1.9105221783047868E-2</v>
      </c>
      <c r="P8" s="246"/>
      <c r="Q8" s="246"/>
    </row>
    <row r="9" spans="1:17" x14ac:dyDescent="0.3">
      <c r="A9" s="4"/>
      <c r="B9" s="6">
        <v>2012</v>
      </c>
      <c r="C9" s="39">
        <f>AVERAGEIF('Macro mensual'!$B$4:$B$147,$B9,'Macro mensual'!H$4:H$147)</f>
        <v>2.6375830086580088</v>
      </c>
      <c r="D9" s="42">
        <f>AVERAGEIF('Macro mensual'!$B$4:$B$147,$B9,'Macro mensual'!C$4:C$147)</f>
        <v>98.756892250000007</v>
      </c>
      <c r="E9" s="38">
        <f>AVERAGEIF('Macro mensual'!$B$4:$B$147,$B9,'Macro mensual'!D$4:D$147)</f>
        <v>95.128097333333343</v>
      </c>
      <c r="F9" s="38">
        <f>AVERAGEIF('Macro mensual'!$B$4:$B$147,$B9,'Macro mensual'!E$4:E$147)</f>
        <v>99.114972749999993</v>
      </c>
      <c r="G9" s="38">
        <f t="shared" si="0"/>
        <v>106.26649567208304</v>
      </c>
      <c r="H9" s="38">
        <f t="shared" si="1"/>
        <v>103.24146598977163</v>
      </c>
      <c r="I9" s="38">
        <f t="shared" si="2"/>
        <v>103.0428359489749</v>
      </c>
      <c r="J9" s="38">
        <f>AVERAGEIF('Macro mensual'!$B$4:$B$147,$B9,'Macro mensual'!F$4:F$147)</f>
        <v>108.78711833333335</v>
      </c>
      <c r="K9" s="38">
        <f>AVERAGEIF('Macro mensual'!$B$4:$B$147,$B9,'Macro mensual'!G$4:G$147)</f>
        <v>101.67166666666667</v>
      </c>
      <c r="L9" s="38">
        <f t="shared" si="3"/>
        <v>108.23445287989043</v>
      </c>
      <c r="M9" s="38">
        <f t="shared" si="5"/>
        <v>103.65541390942225</v>
      </c>
      <c r="N9" s="37">
        <f t="shared" si="4"/>
        <v>108.23445287989043</v>
      </c>
      <c r="O9" s="47">
        <f>AVERAGEIF('Macro mensual'!$B$4:$B$147,$B9,'Macro mensual'!I$4:I$147)/$O$5</f>
        <v>1.5710342555994721E-2</v>
      </c>
      <c r="P9" s="246"/>
      <c r="Q9" s="246"/>
    </row>
    <row r="10" spans="1:17" x14ac:dyDescent="0.3">
      <c r="A10" s="4"/>
      <c r="B10" s="6">
        <v>2013</v>
      </c>
      <c r="C10" s="39">
        <f>AVERAGEIF('Macro mensual'!$B$4:$B$147,$B10,'Macro mensual'!H$4:H$147)</f>
        <v>2.7019011093073595</v>
      </c>
      <c r="D10" s="42">
        <f>AVERAGEIF('Macro mensual'!$B$4:$B$147,$B10,'Macro mensual'!C$4:C$147)</f>
        <v>99.132920000000013</v>
      </c>
      <c r="E10" s="38">
        <f>AVERAGEIF('Macro mensual'!$B$4:$B$147,$B10,'Macro mensual'!D$4:D$147)</f>
        <v>97.193235916666666</v>
      </c>
      <c r="F10" s="38">
        <f>AVERAGEIF('Macro mensual'!$B$4:$B$147,$B10,'Macro mensual'!E$4:E$147)</f>
        <v>99.522779416666665</v>
      </c>
      <c r="G10" s="38">
        <f t="shared" si="0"/>
        <v>104.13183699251707</v>
      </c>
      <c r="H10" s="38">
        <f t="shared" si="1"/>
        <v>102.97174693018994</v>
      </c>
      <c r="I10" s="38">
        <f t="shared" si="2"/>
        <v>101.00380156352711</v>
      </c>
      <c r="J10" s="38">
        <f>AVERAGEIF('Macro mensual'!$B$4:$B$147,$B10,'Macro mensual'!F$4:F$147)</f>
        <v>111.83949716666666</v>
      </c>
      <c r="K10" s="38">
        <f>AVERAGEIF('Macro mensual'!$B$4:$B$147,$B10,'Macro mensual'!G$4:G$147)</f>
        <v>104.48583333333333</v>
      </c>
      <c r="L10" s="38">
        <f t="shared" si="3"/>
        <v>108.62253797078745</v>
      </c>
      <c r="M10" s="38">
        <f t="shared" si="5"/>
        <v>106.5638059711373</v>
      </c>
      <c r="N10" s="37">
        <f t="shared" si="4"/>
        <v>108.62253797078745</v>
      </c>
      <c r="O10" s="47">
        <f>AVERAGEIF('Macro mensual'!$B$4:$B$147,$B10,'Macro mensual'!I$4:I$147)/$O$5</f>
        <v>1.5858089763550291E-2</v>
      </c>
      <c r="P10" s="246"/>
      <c r="Q10" s="246"/>
    </row>
    <row r="11" spans="1:17" x14ac:dyDescent="0.3">
      <c r="A11" s="4"/>
      <c r="B11" s="6">
        <v>2014</v>
      </c>
      <c r="C11" s="39">
        <f>AVERAGEIF('Macro mensual'!$B$4:$B$147,$B11,'Macro mensual'!H$4:H$147)</f>
        <v>2.8383915404040398</v>
      </c>
      <c r="D11" s="42">
        <f>AVERAGEIF('Macro mensual'!$B$4:$B$147,$B11,'Macro mensual'!C$4:C$147)</f>
        <v>100.95011183333332</v>
      </c>
      <c r="E11" s="38">
        <f>AVERAGEIF('Macro mensual'!$B$4:$B$147,$B11,'Macro mensual'!D$4:D$147)</f>
        <v>101.56430425000001</v>
      </c>
      <c r="F11" s="38">
        <f>AVERAGEIF('Macro mensual'!$B$4:$B$147,$B11,'Macro mensual'!E$4:E$147)</f>
        <v>101.31067341666665</v>
      </c>
      <c r="G11" s="38">
        <f t="shared" si="0"/>
        <v>100.94145986302405</v>
      </c>
      <c r="H11" s="38">
        <f t="shared" si="1"/>
        <v>102.42837497750099</v>
      </c>
      <c r="I11" s="38">
        <f t="shared" si="2"/>
        <v>97.874052716763998</v>
      </c>
      <c r="J11" s="38">
        <f>AVERAGEIF('Macro mensual'!$B$4:$B$147,$B11,'Macro mensual'!F$4:F$147)</f>
        <v>115.46976366666665</v>
      </c>
      <c r="K11" s="38">
        <f>AVERAGEIF('Macro mensual'!$B$4:$B$147,$B11,'Macro mensual'!G$4:G$147)</f>
        <v>108.05083333333334</v>
      </c>
      <c r="L11" s="38">
        <f t="shared" si="3"/>
        <v>106.75547638142591</v>
      </c>
      <c r="M11" s="38">
        <f t="shared" si="5"/>
        <v>110.02282559059265</v>
      </c>
      <c r="N11" s="37">
        <f t="shared" si="4"/>
        <v>106.75547638142591</v>
      </c>
      <c r="O11" s="47">
        <f>AVERAGEIF('Macro mensual'!$B$4:$B$147,$B11,'Macro mensual'!I$4:I$147)/$O$5</f>
        <v>1.6221648732338084E-2</v>
      </c>
      <c r="P11" s="246"/>
      <c r="Q11" s="246"/>
    </row>
    <row r="12" spans="1:17" x14ac:dyDescent="0.3">
      <c r="A12" s="4"/>
      <c r="B12" s="6">
        <v>2015</v>
      </c>
      <c r="C12" s="39">
        <f>AVERAGEIF('Macro mensual'!$B$4:$B$147,$B12,'Macro mensual'!H$4:H$147)</f>
        <v>3.1844398097041853</v>
      </c>
      <c r="D12" s="42">
        <f>AVERAGEIF('Macro mensual'!$B$4:$B$147,$B12,'Macro mensual'!C$4:C$147)</f>
        <v>102.73841633333332</v>
      </c>
      <c r="E12" s="38">
        <f>AVERAGEIF('Macro mensual'!$B$4:$B$147,$B12,'Macro mensual'!D$4:D$147)</f>
        <v>110.13848383333332</v>
      </c>
      <c r="F12" s="38">
        <f>AVERAGEIF('Macro mensual'!$B$4:$B$147,$B12,'Macro mensual'!E$4:E$147)</f>
        <v>105.13885891666666</v>
      </c>
      <c r="G12" s="38">
        <f t="shared" si="0"/>
        <v>91.566139260772445</v>
      </c>
      <c r="H12" s="41">
        <f t="shared" si="1"/>
        <v>99.005093403797019</v>
      </c>
      <c r="I12" s="41">
        <f t="shared" si="2"/>
        <v>90.534662738531736</v>
      </c>
      <c r="J12" s="38">
        <f>AVERAGEIF('Macro mensual'!$B$4:$B$147,$B12,'Macro mensual'!F$4:F$147)</f>
        <v>119.56645625</v>
      </c>
      <c r="K12" s="38">
        <f>AVERAGEIF('Macro mensual'!$B$4:$B$147,$B12,'Macro mensual'!G$4:G$147)</f>
        <v>111.72250000000001</v>
      </c>
      <c r="L12" s="38">
        <f t="shared" si="3"/>
        <v>98.530458296618633</v>
      </c>
      <c r="M12" s="38">
        <f t="shared" si="5"/>
        <v>113.92626904870437</v>
      </c>
      <c r="N12" s="37">
        <f t="shared" si="4"/>
        <v>98.530458296618633</v>
      </c>
      <c r="O12" s="47">
        <f>AVERAGEIF('Macro mensual'!$B$4:$B$147,$B12,'Macro mensual'!I$4:I$147)/$O$5</f>
        <v>2.0071119655198592E-2</v>
      </c>
      <c r="P12" s="246"/>
      <c r="Q12" s="246"/>
    </row>
    <row r="13" spans="1:17" x14ac:dyDescent="0.3">
      <c r="A13" s="4"/>
      <c r="B13" s="6">
        <v>2016</v>
      </c>
      <c r="C13" s="39">
        <f>AVERAGEIF('Macro mensual'!$B$4:$B$147,$B13,'Macro mensual'!H$4:H$147)</f>
        <v>3.3750615872066518</v>
      </c>
      <c r="D13" s="42">
        <f>AVERAGEIF('Macro mensual'!$B$4:$B$147,$B13,'Macro mensual'!C$4:C$147)</f>
        <v>104.36584416666666</v>
      </c>
      <c r="E13" s="38">
        <f>AVERAGEIF('Macro mensual'!$B$4:$B$147,$B13,'Macro mensual'!D$4:D$147)</f>
        <v>115.21303308333331</v>
      </c>
      <c r="F13" s="38">
        <f>AVERAGEIF('Macro mensual'!$B$4:$B$147,$B13,'Macro mensual'!E$4:E$147)</f>
        <v>108.38787416666666</v>
      </c>
      <c r="G13" s="38">
        <f t="shared" si="0"/>
        <v>87.763062370005912</v>
      </c>
      <c r="H13" s="41">
        <f t="shared" si="1"/>
        <v>97.717286030531596</v>
      </c>
      <c r="I13" s="41">
        <f t="shared" si="2"/>
        <v>88.061011517525486</v>
      </c>
      <c r="J13" s="38">
        <f>AVERAGEIF('Macro mensual'!$B$4:$B$147,$B13,'Macro mensual'!F$4:F$147)</f>
        <v>123.86257933333331</v>
      </c>
      <c r="K13" s="38">
        <f>AVERAGEIF('Macro mensual'!$B$4:$B$147,$B13,'Macro mensual'!G$4:G$147)</f>
        <v>115.69666666666666</v>
      </c>
      <c r="L13" s="38">
        <f t="shared" si="3"/>
        <v>96.305836352752266</v>
      </c>
      <c r="M13" s="38">
        <f t="shared" si="5"/>
        <v>118.01973547406047</v>
      </c>
      <c r="N13" s="37">
        <f t="shared" si="4"/>
        <v>96.305836352752266</v>
      </c>
      <c r="O13" s="47">
        <f>AVERAGEIF('Macro mensual'!$B$4:$B$147,$B13,'Macro mensual'!I$4:I$147)/$O$5</f>
        <v>1.9975514288025728E-2</v>
      </c>
      <c r="P13" s="246"/>
      <c r="Q13" s="246"/>
    </row>
    <row r="14" spans="1:17" x14ac:dyDescent="0.3">
      <c r="A14" s="4"/>
      <c r="B14" s="6">
        <v>2017</v>
      </c>
      <c r="C14" s="39">
        <f>AVERAGEIF('Macro mensual'!$B$4:$B$147,$B14,'Macro mensual'!H$4:H$147)</f>
        <v>3.2604884908320986</v>
      </c>
      <c r="D14" s="42">
        <f>AVERAGEIF('Macro mensual'!$B$4:$B$147,$B14,'Macro mensual'!C$4:C$147)</f>
        <v>105.56187274999998</v>
      </c>
      <c r="E14" s="38">
        <f>AVERAGEIF('Macro mensual'!$B$4:$B$147,$B14,'Macro mensual'!D$4:D$147)</f>
        <v>112.48965166666666</v>
      </c>
      <c r="F14" s="38">
        <f>AVERAGEIF('Macro mensual'!$B$4:$B$147,$B14,'Macro mensual'!E$4:E$147)</f>
        <v>110.53250766666666</v>
      </c>
      <c r="G14" s="38">
        <f t="shared" si="0"/>
        <v>91.888147399868032</v>
      </c>
      <c r="H14" s="41">
        <f t="shared" si="1"/>
        <v>98.760070003494945</v>
      </c>
      <c r="I14" s="41">
        <f t="shared" si="2"/>
        <v>92.959124506900366</v>
      </c>
      <c r="J14" s="38">
        <f>AVERAGEIF('Macro mensual'!$B$4:$B$147,$B14,'Macro mensual'!F$4:F$147)</f>
        <v>127.33547775</v>
      </c>
      <c r="K14" s="38">
        <f>AVERAGEIF('Macro mensual'!$B$4:$B$147,$B14,'Macro mensual'!G$4:G$147)</f>
        <v>119.16166666666668</v>
      </c>
      <c r="L14" s="38">
        <f t="shared" si="3"/>
        <v>102.4851497969934</v>
      </c>
      <c r="M14" s="38">
        <f t="shared" si="5"/>
        <v>121.32881037520764</v>
      </c>
      <c r="N14" s="37">
        <f t="shared" si="4"/>
        <v>102.4851497969934</v>
      </c>
      <c r="O14" s="47">
        <f>AVERAGEIF('Macro mensual'!$B$4:$B$147,$B14,'Macro mensual'!I$4:I$147)/$O$5</f>
        <v>1.4501681736455765E-2</v>
      </c>
      <c r="P14" s="246"/>
      <c r="Q14" s="246"/>
    </row>
    <row r="15" spans="1:17" x14ac:dyDescent="0.3">
      <c r="A15" s="4"/>
      <c r="B15" s="6">
        <v>2018</v>
      </c>
      <c r="C15" s="39">
        <f>AVERAGEIF('Macro mensual'!$B$4:$B$147,$B15,'Macro mensual'!H$4:H$147)</f>
        <v>3.2866026980329615</v>
      </c>
      <c r="D15" s="42">
        <f>AVERAGEIF('Macro mensual'!$B$4:$B$147,$B15,'Macro mensual'!C$4:C$147)</f>
        <v>107.28573247440001</v>
      </c>
      <c r="E15" s="38">
        <f>AVERAGEIF('Macro mensual'!$B$4:$B$147,$B15,'Macro mensual'!D$4:D$147)</f>
        <v>113.07916366666667</v>
      </c>
      <c r="F15" s="38">
        <f>AVERAGEIF('Macro mensual'!$B$4:$B$147,$B15,'Macro mensual'!E$4:E$147)</f>
        <v>114.75756141666666</v>
      </c>
      <c r="G15" s="38">
        <f t="shared" si="0"/>
        <v>92.64667637690944</v>
      </c>
      <c r="H15" s="41">
        <f t="shared" si="1"/>
        <v>98.488805227819526</v>
      </c>
      <c r="I15" s="41">
        <f t="shared" si="2"/>
        <v>95.74558938479187</v>
      </c>
      <c r="J15" s="38">
        <f>AVERAGEIF('Macro mensual'!$B$4:$B$147,$B15,'Macro mensual'!F$4:F$147)</f>
        <v>129.01211741666665</v>
      </c>
      <c r="K15" s="38">
        <f>AVERAGEIF('Macro mensual'!$B$4:$B$147,$B15,'Macro mensual'!G$4:G$147)</f>
        <v>120.96</v>
      </c>
      <c r="L15" s="38">
        <f t="shared" si="3"/>
        <v>103.00954892922964</v>
      </c>
      <c r="M15" s="38">
        <f t="shared" si="5"/>
        <v>122.92635961897722</v>
      </c>
      <c r="N15" s="37">
        <f t="shared" si="4"/>
        <v>103.00954892922964</v>
      </c>
      <c r="O15" s="47">
        <f>AVERAGEIF('Macro mensual'!$B$4:$B$147,$B15,'Macro mensual'!I$4:I$147)/$O$5</f>
        <v>1.4739749197323571E-2</v>
      </c>
      <c r="P15" s="246"/>
      <c r="Q15" s="246"/>
    </row>
    <row r="16" spans="1:17" x14ac:dyDescent="0.3">
      <c r="A16" s="4"/>
      <c r="B16" s="6">
        <v>2019</v>
      </c>
      <c r="C16" s="39">
        <f>AVERAGEIF('Macro mensual'!$B$4:$B$147,$B16,'Macro mensual'!H$4:H$147)</f>
        <v>3.3369999314574312</v>
      </c>
      <c r="D16" s="42">
        <f>AVERAGEIF('Macro mensual'!$B$4:$B$147,$B16,'Macro mensual'!C$4:C$147)</f>
        <v>108.54687299999999</v>
      </c>
      <c r="E16" s="38">
        <f>AVERAGEIF('Macro mensual'!$B$4:$B$147,$B16,'Macro mensual'!D$4:D$147)</f>
        <v>114.84401875000002</v>
      </c>
      <c r="F16" s="38">
        <f>AVERAGEIF('Macro mensual'!$B$4:$B$147,$B16,'Macro mensual'!E$4:E$147)</f>
        <v>115.42165941666667</v>
      </c>
      <c r="G16" s="38">
        <f t="shared" si="0"/>
        <v>92.320085909241072</v>
      </c>
      <c r="H16" s="41">
        <f t="shared" si="1"/>
        <v>98.51529731309563</v>
      </c>
      <c r="I16" s="41">
        <f t="shared" si="2"/>
        <v>94.845294524796458</v>
      </c>
      <c r="J16" s="38">
        <f>AVERAGEIF('Macro mensual'!$B$4:$B$147,$B16,'Macro mensual'!F$4:F$147)</f>
        <v>131.76782300000002</v>
      </c>
      <c r="K16" s="38">
        <f>AVERAGEIF('Macro mensual'!$B$4:$B$147,$B16,'Macro mensual'!G$4:G$147)</f>
        <v>123.68416666666667</v>
      </c>
      <c r="L16" s="38">
        <f t="shared" si="3"/>
        <v>103.62090065322688</v>
      </c>
      <c r="M16" s="38">
        <f t="shared" si="5"/>
        <v>125.5520730970904</v>
      </c>
      <c r="N16" s="37">
        <f t="shared" si="4"/>
        <v>103.62090065322688</v>
      </c>
      <c r="O16" s="47">
        <f>AVERAGEIF('Macro mensual'!$B$4:$B$147,$B16,'Macro mensual'!I$4:I$147)/$O$5</f>
        <v>1.2857016970126239E-2</v>
      </c>
      <c r="P16" s="246"/>
      <c r="Q16" s="246"/>
    </row>
    <row r="17" spans="1:15" x14ac:dyDescent="0.3">
      <c r="A17" s="4"/>
      <c r="B17" s="6"/>
      <c r="C17" s="4"/>
      <c r="D17" s="4"/>
      <c r="E17" s="4"/>
      <c r="F17" s="4"/>
      <c r="G17" s="4"/>
      <c r="H17" s="41"/>
      <c r="I17" s="41"/>
      <c r="J17" s="4"/>
      <c r="K17" s="4"/>
      <c r="L17" s="4"/>
      <c r="M17" s="4"/>
      <c r="N17" s="4"/>
      <c r="O17" s="4"/>
    </row>
    <row r="18" spans="1:15" x14ac:dyDescent="0.3">
      <c r="A18" s="29"/>
      <c r="B18" s="29" t="s">
        <v>240</v>
      </c>
      <c r="C18" s="29"/>
      <c r="D18" s="29"/>
      <c r="E18" s="29"/>
      <c r="F18" s="29"/>
      <c r="G18" s="442"/>
      <c r="H18" s="442"/>
      <c r="I18" s="44"/>
      <c r="J18" s="29"/>
      <c r="K18" s="29"/>
      <c r="L18" s="43"/>
      <c r="M18" s="43"/>
      <c r="N18" s="43" t="s">
        <v>241</v>
      </c>
      <c r="O18" s="43"/>
    </row>
    <row r="19" spans="1:15" x14ac:dyDescent="0.3">
      <c r="A19" s="4"/>
      <c r="B19" s="6">
        <v>2009</v>
      </c>
      <c r="C19" s="38">
        <f t="shared" ref="C19:D29" si="6">+C6</f>
        <v>3.0115024426596797</v>
      </c>
      <c r="D19" s="38">
        <f t="shared" si="6"/>
        <v>89.613510333333352</v>
      </c>
      <c r="E19" s="38"/>
      <c r="F19" s="38"/>
      <c r="G19" s="45">
        <f t="shared" ref="G19:I29" si="7">+G6</f>
        <v>84.454997000137851</v>
      </c>
      <c r="H19" s="45">
        <f t="shared" si="7"/>
        <v>95.22679861888129</v>
      </c>
      <c r="I19" s="45">
        <f t="shared" si="7"/>
        <v>87.977708117564475</v>
      </c>
      <c r="J19" s="38"/>
      <c r="K19" s="38"/>
      <c r="L19" s="38"/>
      <c r="M19" s="38"/>
      <c r="N19" s="45">
        <f t="shared" ref="N19:N29" si="8">+N6</f>
        <v>87.138680138869802</v>
      </c>
      <c r="O19" s="40"/>
    </row>
    <row r="20" spans="1:15" x14ac:dyDescent="0.3">
      <c r="A20" s="4"/>
      <c r="B20" s="6">
        <v>2010</v>
      </c>
      <c r="C20" s="38">
        <f t="shared" si="6"/>
        <v>2.8251107341187285</v>
      </c>
      <c r="D20" s="38">
        <f t="shared" si="6"/>
        <v>91.254999833333329</v>
      </c>
      <c r="E20" s="38"/>
      <c r="F20" s="38"/>
      <c r="G20" s="45">
        <f t="shared" si="7"/>
        <v>91.676130505455106</v>
      </c>
      <c r="H20" s="45">
        <f t="shared" si="7"/>
        <v>97.943613945563001</v>
      </c>
      <c r="I20" s="45">
        <f t="shared" si="7"/>
        <v>94.840909952219349</v>
      </c>
      <c r="J20" s="38"/>
      <c r="K20" s="38"/>
      <c r="L20" s="38"/>
      <c r="M20" s="38"/>
      <c r="N20" s="45">
        <f t="shared" si="8"/>
        <v>94.308554054929999</v>
      </c>
      <c r="O20" s="40"/>
    </row>
    <row r="21" spans="1:15" x14ac:dyDescent="0.3">
      <c r="A21" s="4"/>
      <c r="B21" s="6">
        <v>2011</v>
      </c>
      <c r="C21" s="38">
        <f t="shared" si="6"/>
        <v>2.7540997918049412</v>
      </c>
      <c r="D21" s="38">
        <f t="shared" si="6"/>
        <v>97.038615499999992</v>
      </c>
      <c r="E21" s="38"/>
      <c r="F21" s="38"/>
      <c r="G21" s="45">
        <f t="shared" si="7"/>
        <v>100</v>
      </c>
      <c r="H21" s="45">
        <f t="shared" si="7"/>
        <v>100</v>
      </c>
      <c r="I21" s="45">
        <f t="shared" si="7"/>
        <v>100</v>
      </c>
      <c r="J21" s="38"/>
      <c r="K21" s="38"/>
      <c r="L21" s="38"/>
      <c r="M21" s="38"/>
      <c r="N21" s="45">
        <f t="shared" si="8"/>
        <v>100</v>
      </c>
      <c r="O21" s="40"/>
    </row>
    <row r="22" spans="1:15" x14ac:dyDescent="0.3">
      <c r="A22" s="4"/>
      <c r="B22" s="6">
        <v>2012</v>
      </c>
      <c r="C22" s="38">
        <f t="shared" si="6"/>
        <v>2.6375830086580088</v>
      </c>
      <c r="D22" s="38">
        <f t="shared" si="6"/>
        <v>98.756892250000007</v>
      </c>
      <c r="E22" s="38"/>
      <c r="F22" s="38"/>
      <c r="G22" s="45">
        <f t="shared" si="7"/>
        <v>106.26649567208304</v>
      </c>
      <c r="H22" s="45">
        <f t="shared" si="7"/>
        <v>103.24146598977163</v>
      </c>
      <c r="I22" s="45">
        <f t="shared" si="7"/>
        <v>103.0428359489749</v>
      </c>
      <c r="J22" s="38"/>
      <c r="K22" s="38"/>
      <c r="L22" s="38"/>
      <c r="M22" s="38"/>
      <c r="N22" s="45">
        <f t="shared" si="8"/>
        <v>108.23445287989043</v>
      </c>
      <c r="O22" s="40"/>
    </row>
    <row r="23" spans="1:15" x14ac:dyDescent="0.3">
      <c r="A23" s="4"/>
      <c r="B23" s="6">
        <v>2013</v>
      </c>
      <c r="C23" s="38">
        <f t="shared" si="6"/>
        <v>2.7019011093073595</v>
      </c>
      <c r="D23" s="38">
        <f t="shared" si="6"/>
        <v>99.132920000000013</v>
      </c>
      <c r="E23" s="38"/>
      <c r="F23" s="38"/>
      <c r="G23" s="45">
        <f t="shared" si="7"/>
        <v>104.13183699251707</v>
      </c>
      <c r="H23" s="45">
        <f t="shared" si="7"/>
        <v>102.97174693018994</v>
      </c>
      <c r="I23" s="45">
        <f t="shared" si="7"/>
        <v>101.00380156352711</v>
      </c>
      <c r="J23" s="38"/>
      <c r="K23" s="38"/>
      <c r="L23" s="38"/>
      <c r="M23" s="38"/>
      <c r="N23" s="45">
        <f t="shared" si="8"/>
        <v>108.62253797078745</v>
      </c>
      <c r="O23" s="40"/>
    </row>
    <row r="24" spans="1:15" x14ac:dyDescent="0.3">
      <c r="A24" s="4"/>
      <c r="B24" s="6">
        <v>2014</v>
      </c>
      <c r="C24" s="38">
        <f t="shared" si="6"/>
        <v>2.8383915404040398</v>
      </c>
      <c r="D24" s="38">
        <f t="shared" si="6"/>
        <v>100.95011183333332</v>
      </c>
      <c r="E24" s="38"/>
      <c r="F24" s="38"/>
      <c r="G24" s="45">
        <f t="shared" si="7"/>
        <v>100.94145986302405</v>
      </c>
      <c r="H24" s="45">
        <f t="shared" si="7"/>
        <v>102.42837497750099</v>
      </c>
      <c r="I24" s="45">
        <f t="shared" si="7"/>
        <v>97.874052716763998</v>
      </c>
      <c r="J24" s="38"/>
      <c r="K24" s="38"/>
      <c r="L24" s="38"/>
      <c r="M24" s="38"/>
      <c r="N24" s="45">
        <f t="shared" si="8"/>
        <v>106.75547638142591</v>
      </c>
      <c r="O24" s="40"/>
    </row>
    <row r="25" spans="1:15" x14ac:dyDescent="0.3">
      <c r="A25" s="4"/>
      <c r="B25" s="6">
        <v>2015</v>
      </c>
      <c r="C25" s="38">
        <f t="shared" si="6"/>
        <v>3.1844398097041853</v>
      </c>
      <c r="D25" s="38">
        <f t="shared" si="6"/>
        <v>102.73841633333332</v>
      </c>
      <c r="E25" s="38"/>
      <c r="F25" s="38"/>
      <c r="G25" s="45">
        <f t="shared" si="7"/>
        <v>91.566139260772445</v>
      </c>
      <c r="H25" s="45">
        <f t="shared" si="7"/>
        <v>99.005093403797019</v>
      </c>
      <c r="I25" s="45">
        <f t="shared" si="7"/>
        <v>90.534662738531736</v>
      </c>
      <c r="J25" s="38"/>
      <c r="K25" s="38"/>
      <c r="L25" s="38"/>
      <c r="M25" s="38"/>
      <c r="N25" s="45">
        <f t="shared" si="8"/>
        <v>98.530458296618633</v>
      </c>
      <c r="O25" s="4"/>
    </row>
    <row r="26" spans="1:15" x14ac:dyDescent="0.3">
      <c r="A26" s="4"/>
      <c r="B26" s="6">
        <v>2016</v>
      </c>
      <c r="C26" s="38">
        <f t="shared" si="6"/>
        <v>3.3750615872066518</v>
      </c>
      <c r="D26" s="38">
        <f t="shared" si="6"/>
        <v>104.36584416666666</v>
      </c>
      <c r="E26" s="38"/>
      <c r="F26" s="38"/>
      <c r="G26" s="45">
        <f t="shared" si="7"/>
        <v>87.763062370005912</v>
      </c>
      <c r="H26" s="45">
        <f t="shared" si="7"/>
        <v>97.717286030531596</v>
      </c>
      <c r="I26" s="45">
        <f t="shared" si="7"/>
        <v>88.061011517525486</v>
      </c>
      <c r="J26" s="38"/>
      <c r="K26" s="38"/>
      <c r="L26" s="38"/>
      <c r="M26" s="38"/>
      <c r="N26" s="45">
        <f t="shared" si="8"/>
        <v>96.305836352752266</v>
      </c>
      <c r="O26" s="4"/>
    </row>
    <row r="27" spans="1:15" x14ac:dyDescent="0.3">
      <c r="A27" s="4"/>
      <c r="B27" s="6">
        <v>2017</v>
      </c>
      <c r="C27" s="38">
        <f t="shared" si="6"/>
        <v>3.2604884908320986</v>
      </c>
      <c r="D27" s="38">
        <f t="shared" si="6"/>
        <v>105.56187274999998</v>
      </c>
      <c r="E27" s="38"/>
      <c r="F27" s="38"/>
      <c r="G27" s="45">
        <f t="shared" si="7"/>
        <v>91.888147399868032</v>
      </c>
      <c r="H27" s="45">
        <f t="shared" si="7"/>
        <v>98.760070003494945</v>
      </c>
      <c r="I27" s="45">
        <f t="shared" si="7"/>
        <v>92.959124506900366</v>
      </c>
      <c r="J27" s="38"/>
      <c r="K27" s="38"/>
      <c r="L27" s="38"/>
      <c r="M27" s="38"/>
      <c r="N27" s="45">
        <f t="shared" si="8"/>
        <v>102.4851497969934</v>
      </c>
      <c r="O27" s="4"/>
    </row>
    <row r="28" spans="1:15" x14ac:dyDescent="0.3">
      <c r="A28" s="4"/>
      <c r="B28" s="6">
        <v>2018</v>
      </c>
      <c r="C28" s="38">
        <f t="shared" si="6"/>
        <v>3.2866026980329615</v>
      </c>
      <c r="D28" s="38">
        <f t="shared" si="6"/>
        <v>107.28573247440001</v>
      </c>
      <c r="E28" s="38"/>
      <c r="F28" s="38"/>
      <c r="G28" s="45">
        <f t="shared" si="7"/>
        <v>92.64667637690944</v>
      </c>
      <c r="H28" s="45">
        <f t="shared" si="7"/>
        <v>98.488805227819526</v>
      </c>
      <c r="I28" s="45">
        <f t="shared" si="7"/>
        <v>95.74558938479187</v>
      </c>
      <c r="J28" s="38"/>
      <c r="K28" s="38"/>
      <c r="L28" s="38"/>
      <c r="M28" s="38"/>
      <c r="N28" s="45">
        <f t="shared" si="8"/>
        <v>103.00954892922964</v>
      </c>
      <c r="O28" s="4"/>
    </row>
    <row r="29" spans="1:15" x14ac:dyDescent="0.3">
      <c r="A29" s="4"/>
      <c r="B29" s="6">
        <v>2019</v>
      </c>
      <c r="C29" s="38">
        <f t="shared" si="6"/>
        <v>3.3369999314574312</v>
      </c>
      <c r="D29" s="38">
        <f t="shared" si="6"/>
        <v>108.54687299999999</v>
      </c>
      <c r="E29" s="38"/>
      <c r="F29" s="38"/>
      <c r="G29" s="45">
        <f t="shared" si="7"/>
        <v>92.320085909241072</v>
      </c>
      <c r="H29" s="45">
        <f t="shared" si="7"/>
        <v>98.51529731309563</v>
      </c>
      <c r="I29" s="45">
        <f t="shared" si="7"/>
        <v>94.845294524796458</v>
      </c>
      <c r="J29" s="38"/>
      <c r="K29" s="38"/>
      <c r="L29" s="38"/>
      <c r="M29" s="38"/>
      <c r="N29" s="45">
        <f t="shared" si="8"/>
        <v>103.62090065322688</v>
      </c>
      <c r="O29" s="4"/>
    </row>
  </sheetData>
  <mergeCells count="5">
    <mergeCell ref="D1:F1"/>
    <mergeCell ref="G1:I1"/>
    <mergeCell ref="J1:K1"/>
    <mergeCell ref="L1:M1"/>
    <mergeCell ref="G18:H1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2CD8-1E2D-40EE-A299-0ADC94FC98F6}">
  <dimension ref="A1:K181"/>
  <sheetViews>
    <sheetView showGridLines="0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" sqref="A3:XFD4"/>
    </sheetView>
  </sheetViews>
  <sheetFormatPr defaultColWidth="10.75" defaultRowHeight="12.5" outlineLevelCol="1" x14ac:dyDescent="0.25"/>
  <cols>
    <col min="1" max="1" width="10.58203125" style="4" customWidth="1" outlineLevel="1"/>
    <col min="2" max="2" width="10.58203125" style="6" customWidth="1"/>
    <col min="3" max="3" width="13.08203125" style="4" customWidth="1"/>
    <col min="4" max="4" width="13.58203125" style="4" customWidth="1"/>
    <col min="5" max="5" width="16.5" style="4" customWidth="1"/>
    <col min="6" max="6" width="14.08203125" style="4" customWidth="1"/>
    <col min="7" max="7" width="12.75" style="4" customWidth="1"/>
    <col min="8" max="8" width="12.08203125" style="4" customWidth="1"/>
    <col min="9" max="9" width="25.08203125" style="4" customWidth="1"/>
    <col min="10" max="10" width="11.33203125" style="4" customWidth="1"/>
    <col min="11" max="16384" width="10.75" style="4"/>
  </cols>
  <sheetData>
    <row r="1" spans="1:9" ht="15.75" customHeight="1" x14ac:dyDescent="0.3">
      <c r="C1" s="56" t="s">
        <v>96</v>
      </c>
      <c r="D1" s="56"/>
      <c r="E1" s="56"/>
      <c r="F1" s="56" t="s">
        <v>94</v>
      </c>
      <c r="G1" s="56"/>
      <c r="H1" s="54" t="s">
        <v>95</v>
      </c>
      <c r="I1" s="54" t="s">
        <v>93</v>
      </c>
    </row>
    <row r="2" spans="1:9" ht="65.25" customHeight="1" x14ac:dyDescent="0.25">
      <c r="A2" s="52" t="s">
        <v>92</v>
      </c>
      <c r="B2" s="52" t="s">
        <v>91</v>
      </c>
      <c r="C2" s="52" t="s">
        <v>90</v>
      </c>
      <c r="D2" s="52" t="s">
        <v>88</v>
      </c>
      <c r="E2" s="52" t="s">
        <v>89</v>
      </c>
      <c r="F2" s="52" t="s">
        <v>87</v>
      </c>
      <c r="G2" s="52" t="s">
        <v>86</v>
      </c>
      <c r="H2" s="52" t="s">
        <v>235</v>
      </c>
      <c r="I2" s="52" t="s">
        <v>80</v>
      </c>
    </row>
    <row r="3" spans="1:9" ht="13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9" x14ac:dyDescent="0.25">
      <c r="A4" s="46">
        <v>39814</v>
      </c>
      <c r="B4" s="50">
        <f t="shared" ref="B4:B67" si="0">YEAR(A4)</f>
        <v>2009</v>
      </c>
      <c r="C4" s="49">
        <v>92.476884999999996</v>
      </c>
      <c r="D4" s="49">
        <v>102.554749</v>
      </c>
      <c r="E4" s="49">
        <v>102.414691</v>
      </c>
      <c r="F4" s="49">
        <v>99.965633999999994</v>
      </c>
      <c r="G4" s="51">
        <f t="shared" ref="G4:G27" si="1">F4*G5/F5</f>
        <v>93.470260584726731</v>
      </c>
      <c r="H4" s="49">
        <v>3.151125</v>
      </c>
      <c r="I4" s="30"/>
    </row>
    <row r="5" spans="1:9" x14ac:dyDescent="0.25">
      <c r="A5" s="46">
        <v>39845</v>
      </c>
      <c r="B5" s="50">
        <f t="shared" si="0"/>
        <v>2009</v>
      </c>
      <c r="C5" s="49">
        <v>91.045320000000004</v>
      </c>
      <c r="D5" s="49">
        <v>104.22901</v>
      </c>
      <c r="E5" s="49">
        <v>100.309843</v>
      </c>
      <c r="F5" s="49">
        <v>99.890872999999999</v>
      </c>
      <c r="G5" s="51">
        <f t="shared" si="1"/>
        <v>93.400357260234486</v>
      </c>
      <c r="H5" s="49">
        <v>3.2361249999999999</v>
      </c>
      <c r="I5" s="30"/>
    </row>
    <row r="6" spans="1:9" x14ac:dyDescent="0.25">
      <c r="A6" s="46">
        <v>39873</v>
      </c>
      <c r="B6" s="50">
        <f t="shared" si="0"/>
        <v>2009</v>
      </c>
      <c r="C6" s="49">
        <v>90.591809999999995</v>
      </c>
      <c r="D6" s="49">
        <v>104.239935</v>
      </c>
      <c r="E6" s="49">
        <v>98.693678000000006</v>
      </c>
      <c r="F6" s="49">
        <v>100.250699</v>
      </c>
      <c r="G6" s="51">
        <f t="shared" si="1"/>
        <v>93.736803183091936</v>
      </c>
      <c r="H6" s="49">
        <v>3.17477272727273</v>
      </c>
      <c r="I6" s="30"/>
    </row>
    <row r="7" spans="1:9" x14ac:dyDescent="0.25">
      <c r="A7" s="46">
        <v>39904</v>
      </c>
      <c r="B7" s="50">
        <f t="shared" si="0"/>
        <v>2009</v>
      </c>
      <c r="C7" s="49">
        <v>89.953481999999994</v>
      </c>
      <c r="D7" s="49">
        <v>102.534795</v>
      </c>
      <c r="E7" s="49">
        <v>96.478285</v>
      </c>
      <c r="F7" s="49">
        <v>100.269758</v>
      </c>
      <c r="G7" s="51">
        <f t="shared" si="1"/>
        <v>93.754623804291455</v>
      </c>
      <c r="H7" s="49">
        <v>3.0850249999999999</v>
      </c>
      <c r="I7" s="30"/>
    </row>
    <row r="8" spans="1:9" x14ac:dyDescent="0.25">
      <c r="A8" s="46">
        <v>39934</v>
      </c>
      <c r="B8" s="50">
        <f t="shared" si="0"/>
        <v>2009</v>
      </c>
      <c r="C8" s="49">
        <v>89.341132000000002</v>
      </c>
      <c r="D8" s="49">
        <v>100.128359</v>
      </c>
      <c r="E8" s="49">
        <v>95.060128000000006</v>
      </c>
      <c r="F8" s="49">
        <v>100.226636</v>
      </c>
      <c r="G8" s="51">
        <f t="shared" si="1"/>
        <v>93.714303702115785</v>
      </c>
      <c r="H8" s="49">
        <v>2.9940500000000001</v>
      </c>
      <c r="I8" s="30"/>
    </row>
    <row r="9" spans="1:9" x14ac:dyDescent="0.25">
      <c r="A9" s="46">
        <v>39965</v>
      </c>
      <c r="B9" s="50">
        <f t="shared" si="0"/>
        <v>2009</v>
      </c>
      <c r="C9" s="49">
        <v>89.002058000000005</v>
      </c>
      <c r="D9" s="49">
        <v>99.626639999999995</v>
      </c>
      <c r="E9" s="49">
        <v>94.926523000000003</v>
      </c>
      <c r="F9" s="49">
        <v>99.886290000000002</v>
      </c>
      <c r="G9" s="51">
        <f t="shared" si="1"/>
        <v>93.396072045534993</v>
      </c>
      <c r="H9" s="49">
        <v>2.9904761904761901</v>
      </c>
      <c r="I9" s="30"/>
    </row>
    <row r="10" spans="1:9" x14ac:dyDescent="0.25">
      <c r="A10" s="46">
        <v>39995</v>
      </c>
      <c r="B10" s="50">
        <f t="shared" si="0"/>
        <v>2009</v>
      </c>
      <c r="C10" s="49">
        <v>89.046926999999997</v>
      </c>
      <c r="D10" s="49">
        <v>100.170085</v>
      </c>
      <c r="E10" s="49">
        <v>94.961054000000004</v>
      </c>
      <c r="F10" s="49">
        <v>100.072766</v>
      </c>
      <c r="G10" s="51">
        <f t="shared" si="1"/>
        <v>93.570431569056822</v>
      </c>
      <c r="H10" s="49">
        <v>3.0125000000000002</v>
      </c>
      <c r="I10" s="30"/>
    </row>
    <row r="11" spans="1:9" x14ac:dyDescent="0.25">
      <c r="A11" s="46">
        <v>40026</v>
      </c>
      <c r="B11" s="50">
        <f t="shared" si="0"/>
        <v>2009</v>
      </c>
      <c r="C11" s="49">
        <v>88.672576000000007</v>
      </c>
      <c r="D11" s="49">
        <v>98.995649999999998</v>
      </c>
      <c r="E11" s="49">
        <v>95.138268999999994</v>
      </c>
      <c r="F11" s="49">
        <v>99.865211000000002</v>
      </c>
      <c r="G11" s="51">
        <f t="shared" si="1"/>
        <v>93.376362675984396</v>
      </c>
      <c r="H11" s="49">
        <v>2.9505476190476201</v>
      </c>
      <c r="I11" s="30"/>
    </row>
    <row r="12" spans="1:9" x14ac:dyDescent="0.25">
      <c r="A12" s="46">
        <v>40057</v>
      </c>
      <c r="B12" s="50">
        <f t="shared" si="0"/>
        <v>2009</v>
      </c>
      <c r="C12" s="49">
        <v>88.620061000000007</v>
      </c>
      <c r="D12" s="49">
        <v>98.244159999999994</v>
      </c>
      <c r="E12" s="49">
        <v>95.497878</v>
      </c>
      <c r="F12" s="49">
        <v>99.778142000000003</v>
      </c>
      <c r="G12" s="51">
        <f t="shared" si="1"/>
        <v>93.294951076885738</v>
      </c>
      <c r="H12" s="49">
        <v>2.90965909090909</v>
      </c>
      <c r="I12" s="30"/>
    </row>
    <row r="13" spans="1:9" x14ac:dyDescent="0.25">
      <c r="A13" s="46">
        <v>40087</v>
      </c>
      <c r="B13" s="50">
        <f t="shared" si="0"/>
        <v>2009</v>
      </c>
      <c r="C13" s="49">
        <v>88.762422000000001</v>
      </c>
      <c r="D13" s="49">
        <v>96.883356000000006</v>
      </c>
      <c r="E13" s="49">
        <v>95.459890999999999</v>
      </c>
      <c r="F13" s="49">
        <v>99.900496000000004</v>
      </c>
      <c r="G13" s="51">
        <f t="shared" si="1"/>
        <v>93.409354995572258</v>
      </c>
      <c r="H13" s="49">
        <v>2.871775</v>
      </c>
      <c r="I13" s="30"/>
    </row>
    <row r="14" spans="1:9" x14ac:dyDescent="0.25">
      <c r="A14" s="46">
        <v>40118</v>
      </c>
      <c r="B14" s="50">
        <f t="shared" si="0"/>
        <v>2009</v>
      </c>
      <c r="C14" s="49">
        <v>88.702522000000002</v>
      </c>
      <c r="D14" s="49">
        <v>97.407938000000001</v>
      </c>
      <c r="E14" s="49">
        <v>95.440528</v>
      </c>
      <c r="F14" s="49">
        <v>99.788539999999998</v>
      </c>
      <c r="G14" s="51">
        <f t="shared" si="1"/>
        <v>93.304673455774051</v>
      </c>
      <c r="H14" s="49">
        <v>2.8845000000000001</v>
      </c>
      <c r="I14" s="30"/>
    </row>
    <row r="15" spans="1:9" x14ac:dyDescent="0.25">
      <c r="A15" s="46">
        <v>40148</v>
      </c>
      <c r="B15" s="50">
        <f t="shared" si="0"/>
        <v>2009</v>
      </c>
      <c r="C15" s="49">
        <v>89.146929</v>
      </c>
      <c r="D15" s="49">
        <v>97.172694000000007</v>
      </c>
      <c r="E15" s="49">
        <v>95.070330999999996</v>
      </c>
      <c r="F15" s="49">
        <v>100.10497599999999</v>
      </c>
      <c r="G15" s="51">
        <f t="shared" si="1"/>
        <v>93.600548690040938</v>
      </c>
      <c r="H15" s="49">
        <v>2.8774736842105302</v>
      </c>
      <c r="I15" s="30"/>
    </row>
    <row r="16" spans="1:9" x14ac:dyDescent="0.25">
      <c r="A16" s="46">
        <v>40179</v>
      </c>
      <c r="B16" s="50">
        <f t="shared" si="0"/>
        <v>2010</v>
      </c>
      <c r="C16" s="49">
        <v>89.873998999999998</v>
      </c>
      <c r="D16" s="49">
        <v>96.671931000000001</v>
      </c>
      <c r="E16" s="49">
        <v>95.499138000000002</v>
      </c>
      <c r="F16" s="49">
        <v>100.401203</v>
      </c>
      <c r="G16" s="51">
        <f t="shared" si="1"/>
        <v>93.877528025581711</v>
      </c>
      <c r="H16" s="49">
        <v>2.8564500000000002</v>
      </c>
      <c r="I16" s="49">
        <v>179.68421052631601</v>
      </c>
    </row>
    <row r="17" spans="1:9" x14ac:dyDescent="0.25">
      <c r="A17" s="46">
        <v>40210</v>
      </c>
      <c r="B17" s="50">
        <f t="shared" si="0"/>
        <v>2010</v>
      </c>
      <c r="C17" s="49">
        <v>89.935177999999993</v>
      </c>
      <c r="D17" s="49">
        <v>96.605496000000002</v>
      </c>
      <c r="E17" s="49">
        <v>95.881319000000005</v>
      </c>
      <c r="F17" s="49">
        <v>100.725005</v>
      </c>
      <c r="G17" s="51">
        <f t="shared" si="1"/>
        <v>94.180290646162462</v>
      </c>
      <c r="H17" s="49">
        <v>2.8539750000000002</v>
      </c>
      <c r="I17" s="49">
        <v>200.210526315789</v>
      </c>
    </row>
    <row r="18" spans="1:9" x14ac:dyDescent="0.25">
      <c r="A18" s="46">
        <v>40238</v>
      </c>
      <c r="B18" s="50">
        <f t="shared" si="0"/>
        <v>2010</v>
      </c>
      <c r="C18" s="49">
        <v>90.170550000000006</v>
      </c>
      <c r="D18" s="49">
        <v>96.321518999999995</v>
      </c>
      <c r="E18" s="49">
        <v>96.001821000000007</v>
      </c>
      <c r="F18" s="49">
        <v>101.007853</v>
      </c>
      <c r="G18" s="51">
        <f t="shared" si="1"/>
        <v>94.444760296461169</v>
      </c>
      <c r="H18" s="49">
        <v>2.8392826086956502</v>
      </c>
      <c r="I18" s="49">
        <v>157.81818181818201</v>
      </c>
    </row>
    <row r="19" spans="1:9" x14ac:dyDescent="0.25">
      <c r="A19" s="46">
        <v>40269</v>
      </c>
      <c r="B19" s="50">
        <f t="shared" si="0"/>
        <v>2010</v>
      </c>
      <c r="C19" s="49">
        <v>90.383056999999994</v>
      </c>
      <c r="D19" s="49">
        <v>96.486391999999995</v>
      </c>
      <c r="E19" s="49">
        <v>97.283323999999993</v>
      </c>
      <c r="F19" s="49">
        <v>101.033466</v>
      </c>
      <c r="G19" s="51">
        <f t="shared" si="1"/>
        <v>94.468709064538373</v>
      </c>
      <c r="H19" s="49">
        <v>2.8398500000000002</v>
      </c>
      <c r="I19" s="49">
        <v>143.636363636364</v>
      </c>
    </row>
    <row r="20" spans="1:9" x14ac:dyDescent="0.25">
      <c r="A20" s="46">
        <v>40299</v>
      </c>
      <c r="B20" s="50">
        <f t="shared" si="0"/>
        <v>2010</v>
      </c>
      <c r="C20" s="49">
        <v>91.111790999999997</v>
      </c>
      <c r="D20" s="49">
        <v>96.938038000000006</v>
      </c>
      <c r="E20" s="49">
        <v>98.558491000000004</v>
      </c>
      <c r="F20" s="49">
        <v>101.27378400000001</v>
      </c>
      <c r="G20" s="51">
        <f t="shared" si="1"/>
        <v>94.693412146831648</v>
      </c>
      <c r="H20" s="49">
        <v>2.8454999999999999</v>
      </c>
      <c r="I20" s="49">
        <v>201.76190476190499</v>
      </c>
    </row>
    <row r="21" spans="1:9" x14ac:dyDescent="0.25">
      <c r="A21" s="46">
        <v>40330</v>
      </c>
      <c r="B21" s="50">
        <f t="shared" si="0"/>
        <v>2010</v>
      </c>
      <c r="C21" s="49">
        <v>91.208872999999997</v>
      </c>
      <c r="D21" s="49">
        <v>97.063941</v>
      </c>
      <c r="E21" s="49">
        <v>98.606719999999996</v>
      </c>
      <c r="F21" s="49">
        <v>101.527828</v>
      </c>
      <c r="G21" s="51">
        <f t="shared" si="1"/>
        <v>94.930949367672824</v>
      </c>
      <c r="H21" s="49">
        <v>2.83805</v>
      </c>
      <c r="I21" s="49">
        <v>206.81818181818201</v>
      </c>
    </row>
    <row r="22" spans="1:9" x14ac:dyDescent="0.25">
      <c r="A22" s="46">
        <v>40360</v>
      </c>
      <c r="B22" s="50">
        <f t="shared" si="0"/>
        <v>2010</v>
      </c>
      <c r="C22" s="49">
        <v>91.220281999999997</v>
      </c>
      <c r="D22" s="49">
        <v>96.918324999999996</v>
      </c>
      <c r="E22" s="49">
        <v>98.579821999999993</v>
      </c>
      <c r="F22" s="49">
        <v>101.897344</v>
      </c>
      <c r="G22" s="51">
        <f t="shared" si="1"/>
        <v>95.276455672471798</v>
      </c>
      <c r="H22" s="49">
        <v>2.8228157894736801</v>
      </c>
      <c r="I22" s="49">
        <v>186.772727272727</v>
      </c>
    </row>
    <row r="23" spans="1:9" x14ac:dyDescent="0.25">
      <c r="A23" s="46">
        <v>40391</v>
      </c>
      <c r="B23" s="50">
        <f t="shared" si="0"/>
        <v>2010</v>
      </c>
      <c r="C23" s="49">
        <v>91.553393999999997</v>
      </c>
      <c r="D23" s="49">
        <v>96.656435000000002</v>
      </c>
      <c r="E23" s="49">
        <v>98.452648999999994</v>
      </c>
      <c r="F23" s="49">
        <v>102.17095399999999</v>
      </c>
      <c r="G23" s="51">
        <f t="shared" si="1"/>
        <v>95.532287571648126</v>
      </c>
      <c r="H23" s="49">
        <v>2.8020238095238099</v>
      </c>
      <c r="I23" s="49">
        <v>156.59090909090901</v>
      </c>
    </row>
    <row r="24" spans="1:9" x14ac:dyDescent="0.25">
      <c r="A24" s="46">
        <v>40422</v>
      </c>
      <c r="B24" s="50">
        <f t="shared" si="0"/>
        <v>2010</v>
      </c>
      <c r="C24" s="49">
        <v>91.758877999999996</v>
      </c>
      <c r="D24" s="49">
        <v>96.284469999999999</v>
      </c>
      <c r="E24" s="49">
        <v>98.465407999999996</v>
      </c>
      <c r="F24" s="49">
        <v>102.138251</v>
      </c>
      <c r="G24" s="51">
        <f t="shared" si="1"/>
        <v>95.501709483863465</v>
      </c>
      <c r="H24" s="49">
        <v>2.7906363636363598</v>
      </c>
      <c r="I24" s="49">
        <v>166.95454545454501</v>
      </c>
    </row>
    <row r="25" spans="1:9" x14ac:dyDescent="0.25">
      <c r="A25" s="46">
        <v>40452</v>
      </c>
      <c r="B25" s="50">
        <f t="shared" si="0"/>
        <v>2010</v>
      </c>
      <c r="C25" s="49">
        <v>91.902108999999996</v>
      </c>
      <c r="D25" s="49">
        <v>96.264563999999993</v>
      </c>
      <c r="E25" s="49">
        <v>98.241838999999999</v>
      </c>
      <c r="F25" s="49">
        <v>101.993499</v>
      </c>
      <c r="G25" s="51">
        <f t="shared" si="1"/>
        <v>95.366362899054536</v>
      </c>
      <c r="H25" s="49">
        <v>2.7914750000000002</v>
      </c>
      <c r="I25" s="49">
        <v>157.142857142857</v>
      </c>
    </row>
    <row r="26" spans="1:9" x14ac:dyDescent="0.25">
      <c r="A26" s="46">
        <v>40483</v>
      </c>
      <c r="B26" s="50">
        <f t="shared" si="0"/>
        <v>2010</v>
      </c>
      <c r="C26" s="49">
        <v>92.723305999999994</v>
      </c>
      <c r="D26" s="49">
        <v>96.640793000000002</v>
      </c>
      <c r="E26" s="49">
        <v>98.273657</v>
      </c>
      <c r="F26" s="49">
        <v>102.00156200000001</v>
      </c>
      <c r="G26" s="51">
        <f t="shared" si="1"/>
        <v>95.373901997051917</v>
      </c>
      <c r="H26" s="49">
        <v>2.8055952380952398</v>
      </c>
      <c r="I26" s="49">
        <v>151.636363636364</v>
      </c>
    </row>
    <row r="27" spans="1:9" x14ac:dyDescent="0.25">
      <c r="A27" s="46">
        <v>40513</v>
      </c>
      <c r="B27" s="50">
        <f t="shared" si="0"/>
        <v>2010</v>
      </c>
      <c r="C27" s="49">
        <v>93.218581</v>
      </c>
      <c r="D27" s="49">
        <v>97.103673000000001</v>
      </c>
      <c r="E27" s="49">
        <v>98.696062999999995</v>
      </c>
      <c r="F27" s="49">
        <v>102.1836</v>
      </c>
      <c r="G27" s="51">
        <f t="shared" si="1"/>
        <v>95.544111884345</v>
      </c>
      <c r="H27" s="49">
        <v>2.8156750000000001</v>
      </c>
      <c r="I27" s="49">
        <v>156.65217391304299</v>
      </c>
    </row>
    <row r="28" spans="1:9" x14ac:dyDescent="0.25">
      <c r="A28" s="46">
        <v>40544</v>
      </c>
      <c r="B28" s="50">
        <f t="shared" si="0"/>
        <v>2011</v>
      </c>
      <c r="C28" s="49">
        <v>94.126677000000001</v>
      </c>
      <c r="D28" s="49">
        <v>96.725050999999993</v>
      </c>
      <c r="E28" s="49">
        <v>99.382225000000005</v>
      </c>
      <c r="F28" s="49">
        <v>102.582562</v>
      </c>
      <c r="G28" s="51">
        <f>F28*G29/F29</f>
        <v>95.917150903968519</v>
      </c>
      <c r="H28" s="49">
        <v>2.7870476190476201</v>
      </c>
      <c r="I28" s="49">
        <v>145.57142857142901</v>
      </c>
    </row>
    <row r="29" spans="1:9" x14ac:dyDescent="0.25">
      <c r="A29" s="46">
        <v>40575</v>
      </c>
      <c r="B29" s="50">
        <f t="shared" si="0"/>
        <v>2011</v>
      </c>
      <c r="C29" s="49">
        <v>94.724743000000004</v>
      </c>
      <c r="D29" s="49">
        <v>96.388102000000003</v>
      </c>
      <c r="E29" s="49">
        <v>100.65469400000001</v>
      </c>
      <c r="F29" s="49">
        <v>102.974757</v>
      </c>
      <c r="G29" s="51">
        <f>F29*G30/F30</f>
        <v>96.283862616615963</v>
      </c>
      <c r="H29" s="49">
        <v>2.7705250000000001</v>
      </c>
      <c r="I29" s="49">
        <v>146.1</v>
      </c>
    </row>
    <row r="30" spans="1:9" x14ac:dyDescent="0.25">
      <c r="A30" s="46">
        <v>40603</v>
      </c>
      <c r="B30" s="50">
        <f t="shared" si="0"/>
        <v>2011</v>
      </c>
      <c r="C30" s="49">
        <v>95.356216000000003</v>
      </c>
      <c r="D30" s="49">
        <v>96.398698999999993</v>
      </c>
      <c r="E30" s="49">
        <v>100.897122</v>
      </c>
      <c r="F30" s="49">
        <v>103.698122</v>
      </c>
      <c r="G30" s="51">
        <f>F30*G31/F31</f>
        <v>96.960226206205874</v>
      </c>
      <c r="H30" s="49">
        <v>2.77939130434783</v>
      </c>
      <c r="I30" s="49">
        <v>156.78260869565199</v>
      </c>
    </row>
    <row r="31" spans="1:9" x14ac:dyDescent="0.25">
      <c r="A31" s="46">
        <v>40634</v>
      </c>
      <c r="B31" s="50">
        <f t="shared" si="0"/>
        <v>2011</v>
      </c>
      <c r="C31" s="49">
        <v>96.414997</v>
      </c>
      <c r="D31" s="49">
        <v>97.062582000000006</v>
      </c>
      <c r="E31" s="49">
        <v>101.141508</v>
      </c>
      <c r="F31" s="49">
        <v>104.40421600000001</v>
      </c>
      <c r="G31" s="51">
        <f>F31*G32/F32</f>
        <v>97.620440997394141</v>
      </c>
      <c r="H31" s="49">
        <v>2.8156315789473698</v>
      </c>
      <c r="I31" s="49">
        <v>192.90476190476201</v>
      </c>
    </row>
    <row r="32" spans="1:9" x14ac:dyDescent="0.25">
      <c r="A32" s="46">
        <v>40664</v>
      </c>
      <c r="B32" s="50">
        <f t="shared" si="0"/>
        <v>2011</v>
      </c>
      <c r="C32" s="49">
        <v>96.705140999999998</v>
      </c>
      <c r="D32" s="49">
        <v>96.717421000000002</v>
      </c>
      <c r="E32" s="49">
        <v>100.89464599999999</v>
      </c>
      <c r="F32" s="49">
        <v>104.37946599999999</v>
      </c>
      <c r="G32" s="51">
        <f t="shared" ref="G32:G38" si="2">F32*G33/F33</f>
        <v>97.597299154973854</v>
      </c>
      <c r="H32" s="49">
        <v>2.7749523809523802</v>
      </c>
      <c r="I32" s="49">
        <v>187.227272727273</v>
      </c>
    </row>
    <row r="33" spans="1:9" x14ac:dyDescent="0.25">
      <c r="A33" s="46">
        <v>40695</v>
      </c>
      <c r="B33" s="50">
        <f t="shared" si="0"/>
        <v>2011</v>
      </c>
      <c r="C33" s="49">
        <v>97.000248999999997</v>
      </c>
      <c r="D33" s="49">
        <v>96.375679000000005</v>
      </c>
      <c r="E33" s="49">
        <v>100.510847</v>
      </c>
      <c r="F33" s="49">
        <v>104.482951</v>
      </c>
      <c r="G33" s="51">
        <f>F33*G34/F34</f>
        <v>97.694060107008752</v>
      </c>
      <c r="H33" s="49">
        <v>2.7640714285714298</v>
      </c>
      <c r="I33" s="49">
        <v>192.363636363636</v>
      </c>
    </row>
    <row r="34" spans="1:9" x14ac:dyDescent="0.25">
      <c r="A34" s="46">
        <v>40725</v>
      </c>
      <c r="B34" s="50">
        <f t="shared" si="0"/>
        <v>2011</v>
      </c>
      <c r="C34" s="49">
        <v>97.309443000000002</v>
      </c>
      <c r="D34" s="49">
        <v>95.988961000000003</v>
      </c>
      <c r="E34" s="49">
        <v>100.27663</v>
      </c>
      <c r="F34" s="49">
        <v>105.31145100000001</v>
      </c>
      <c r="G34" s="51">
        <f>F34*G35/F35</f>
        <v>98.468727438128241</v>
      </c>
      <c r="H34" s="49">
        <v>2.7413157894736799</v>
      </c>
      <c r="I34" s="49">
        <v>170.857142857143</v>
      </c>
    </row>
    <row r="35" spans="1:9" x14ac:dyDescent="0.25">
      <c r="A35" s="46">
        <v>40756</v>
      </c>
      <c r="B35" s="50">
        <f t="shared" si="0"/>
        <v>2011</v>
      </c>
      <c r="C35" s="49">
        <v>97.741892000000007</v>
      </c>
      <c r="D35" s="49">
        <v>95.899894000000003</v>
      </c>
      <c r="E35" s="49">
        <v>100.39925100000001</v>
      </c>
      <c r="F35" s="49">
        <v>105.59138799999999</v>
      </c>
      <c r="G35" s="51">
        <f t="shared" si="2"/>
        <v>98.730475233748749</v>
      </c>
      <c r="H35" s="49">
        <v>2.7393809523809498</v>
      </c>
      <c r="I35" s="49">
        <v>199.565217391304</v>
      </c>
    </row>
    <row r="36" spans="1:9" x14ac:dyDescent="0.25">
      <c r="A36" s="46">
        <v>40787</v>
      </c>
      <c r="B36" s="50">
        <f t="shared" si="0"/>
        <v>2011</v>
      </c>
      <c r="C36" s="49">
        <v>98.397795000000002</v>
      </c>
      <c r="D36" s="49">
        <v>95.816344999999998</v>
      </c>
      <c r="E36" s="49">
        <v>100.434274</v>
      </c>
      <c r="F36" s="49">
        <v>105.944258</v>
      </c>
      <c r="G36" s="51">
        <f>F36*G37/F37</f>
        <v>99.060417130106188</v>
      </c>
      <c r="H36" s="49">
        <v>2.7438409090909102</v>
      </c>
      <c r="I36" s="49">
        <v>237.45454545454501</v>
      </c>
    </row>
    <row r="37" spans="1:9" x14ac:dyDescent="0.25">
      <c r="A37" s="46">
        <v>40817</v>
      </c>
      <c r="B37" s="50">
        <f t="shared" si="0"/>
        <v>2011</v>
      </c>
      <c r="C37" s="49">
        <v>98.608720000000005</v>
      </c>
      <c r="D37" s="49">
        <v>96.176466000000005</v>
      </c>
      <c r="E37" s="49">
        <v>100.304056</v>
      </c>
      <c r="F37" s="49">
        <v>106.277824</v>
      </c>
      <c r="G37" s="51">
        <f>F37*G38/F38</f>
        <v>99.372309324399708</v>
      </c>
      <c r="H37" s="49">
        <v>2.7318250000000002</v>
      </c>
      <c r="I37" s="49">
        <v>233.3</v>
      </c>
    </row>
    <row r="38" spans="1:9" x14ac:dyDescent="0.25">
      <c r="A38" s="46">
        <v>40848</v>
      </c>
      <c r="B38" s="50">
        <f t="shared" si="0"/>
        <v>2011</v>
      </c>
      <c r="C38" s="49">
        <v>99.021829999999994</v>
      </c>
      <c r="D38" s="49">
        <v>95.476861</v>
      </c>
      <c r="E38" s="49">
        <v>100.107737</v>
      </c>
      <c r="F38" s="49">
        <v>106.73633100000001</v>
      </c>
      <c r="G38" s="51">
        <f t="shared" si="2"/>
        <v>99.801024344302661</v>
      </c>
      <c r="H38" s="49">
        <v>2.7049523809523799</v>
      </c>
      <c r="I38" s="49">
        <v>214.18181818181799</v>
      </c>
    </row>
    <row r="39" spans="1:9" x14ac:dyDescent="0.25">
      <c r="A39" s="46">
        <v>40878</v>
      </c>
      <c r="B39" s="50">
        <f t="shared" si="0"/>
        <v>2011</v>
      </c>
      <c r="C39" s="49">
        <v>99.055683000000002</v>
      </c>
      <c r="D39" s="49">
        <v>95.515124</v>
      </c>
      <c r="E39" s="49">
        <v>100.24452599999999</v>
      </c>
      <c r="F39" s="49">
        <v>107.02548899999999</v>
      </c>
      <c r="G39" s="51">
        <f>F39*G40/F40</f>
        <v>100.0713939956386</v>
      </c>
      <c r="H39" s="49">
        <v>2.69626315789474</v>
      </c>
      <c r="I39" s="49">
        <v>216.31818181818201</v>
      </c>
    </row>
    <row r="40" spans="1:9" x14ac:dyDescent="0.25">
      <c r="A40" s="46">
        <v>40909</v>
      </c>
      <c r="B40" s="50">
        <f t="shared" si="0"/>
        <v>2012</v>
      </c>
      <c r="C40" s="49">
        <v>98.541925000000006</v>
      </c>
      <c r="D40" s="49">
        <v>95.384941999999995</v>
      </c>
      <c r="E40" s="49">
        <v>100.43877000000001</v>
      </c>
      <c r="F40" s="49">
        <v>106.91704900000001</v>
      </c>
      <c r="G40" s="121">
        <v>99.97</v>
      </c>
      <c r="H40" s="49">
        <v>2.6926590909090899</v>
      </c>
      <c r="I40" s="49">
        <v>219.40909090909099</v>
      </c>
    </row>
    <row r="41" spans="1:9" x14ac:dyDescent="0.25">
      <c r="A41" s="46">
        <v>40940</v>
      </c>
      <c r="B41" s="50">
        <f t="shared" si="0"/>
        <v>2012</v>
      </c>
      <c r="C41" s="49">
        <v>98.668118000000007</v>
      </c>
      <c r="D41" s="49">
        <v>95.321952999999993</v>
      </c>
      <c r="E41" s="49">
        <v>100.25673399999999</v>
      </c>
      <c r="F41" s="49">
        <v>107.264432</v>
      </c>
      <c r="G41" s="121">
        <v>100.31</v>
      </c>
      <c r="H41" s="49">
        <v>2.6835238095238099</v>
      </c>
      <c r="I41" s="49">
        <v>199.23809523809501</v>
      </c>
    </row>
    <row r="42" spans="1:9" x14ac:dyDescent="0.25">
      <c r="A42" s="46">
        <v>40969</v>
      </c>
      <c r="B42" s="50">
        <f t="shared" si="0"/>
        <v>2012</v>
      </c>
      <c r="C42" s="49">
        <v>99.267854999999997</v>
      </c>
      <c r="D42" s="49">
        <v>95.378529</v>
      </c>
      <c r="E42" s="49">
        <v>99.917034000000001</v>
      </c>
      <c r="F42" s="49">
        <v>108.086095</v>
      </c>
      <c r="G42" s="121">
        <v>101.03</v>
      </c>
      <c r="H42" s="49">
        <v>2.6709999999999998</v>
      </c>
      <c r="I42" s="49">
        <v>165.59090909090901</v>
      </c>
    </row>
    <row r="43" spans="1:9" x14ac:dyDescent="0.25">
      <c r="A43" s="46">
        <v>41000</v>
      </c>
      <c r="B43" s="50">
        <f t="shared" si="0"/>
        <v>2012</v>
      </c>
      <c r="C43" s="49">
        <v>99.385497999999998</v>
      </c>
      <c r="D43" s="49">
        <v>95.358962000000005</v>
      </c>
      <c r="E43" s="49">
        <v>99.939982000000001</v>
      </c>
      <c r="F43" s="49">
        <v>108.660616</v>
      </c>
      <c r="G43" s="121">
        <v>101.53</v>
      </c>
      <c r="H43" s="49">
        <v>2.6570277777777802</v>
      </c>
      <c r="I43" s="49">
        <v>164.142857142857</v>
      </c>
    </row>
    <row r="44" spans="1:9" x14ac:dyDescent="0.25">
      <c r="A44" s="46">
        <v>41030</v>
      </c>
      <c r="B44" s="50">
        <f t="shared" si="0"/>
        <v>2012</v>
      </c>
      <c r="C44" s="49">
        <v>99.052024000000003</v>
      </c>
      <c r="D44" s="49">
        <v>95.684348</v>
      </c>
      <c r="E44" s="49">
        <v>99.918267999999998</v>
      </c>
      <c r="F44" s="49">
        <v>108.703277</v>
      </c>
      <c r="G44" s="121">
        <v>101.56</v>
      </c>
      <c r="H44" s="49">
        <v>2.6692727272727299</v>
      </c>
      <c r="I44" s="49">
        <v>180.52173913043501</v>
      </c>
    </row>
    <row r="45" spans="1:9" x14ac:dyDescent="0.25">
      <c r="A45" s="46">
        <v>41061</v>
      </c>
      <c r="B45" s="50">
        <f t="shared" si="0"/>
        <v>2012</v>
      </c>
      <c r="C45" s="49">
        <v>98.983908999999997</v>
      </c>
      <c r="D45" s="49">
        <v>96.290983999999995</v>
      </c>
      <c r="E45" s="49">
        <v>99.734386999999998</v>
      </c>
      <c r="F45" s="49">
        <v>108.663388</v>
      </c>
      <c r="G45" s="121">
        <v>101.5</v>
      </c>
      <c r="H45" s="49">
        <v>2.6705749999999999</v>
      </c>
      <c r="I45" s="49">
        <v>188.42857142857099</v>
      </c>
    </row>
    <row r="46" spans="1:9" x14ac:dyDescent="0.25">
      <c r="A46" s="46">
        <v>41091</v>
      </c>
      <c r="B46" s="50">
        <f t="shared" si="0"/>
        <v>2012</v>
      </c>
      <c r="C46" s="49">
        <v>98.152411999999998</v>
      </c>
      <c r="D46" s="49">
        <v>95.474497</v>
      </c>
      <c r="E46" s="49">
        <v>99.041640000000001</v>
      </c>
      <c r="F46" s="49">
        <v>108.76157499999999</v>
      </c>
      <c r="G46" s="121">
        <v>101.65</v>
      </c>
      <c r="H46" s="49">
        <v>2.63504761904762</v>
      </c>
      <c r="I46" s="49">
        <v>162.59090909090901</v>
      </c>
    </row>
    <row r="47" spans="1:9" x14ac:dyDescent="0.25">
      <c r="A47" s="46">
        <v>41122</v>
      </c>
      <c r="B47" s="50">
        <f t="shared" si="0"/>
        <v>2012</v>
      </c>
      <c r="C47" s="49">
        <v>98.387715999999998</v>
      </c>
      <c r="D47" s="49">
        <v>95.012013999999994</v>
      </c>
      <c r="E47" s="49">
        <v>98.395326999999995</v>
      </c>
      <c r="F47" s="49">
        <v>109.31452</v>
      </c>
      <c r="G47" s="121">
        <v>102.17</v>
      </c>
      <c r="H47" s="49">
        <v>2.6159761904761898</v>
      </c>
      <c r="I47" s="49">
        <v>133.130434782609</v>
      </c>
    </row>
    <row r="48" spans="1:9" x14ac:dyDescent="0.25">
      <c r="A48" s="46">
        <v>41153</v>
      </c>
      <c r="B48" s="50">
        <f t="shared" si="0"/>
        <v>2012</v>
      </c>
      <c r="C48" s="49">
        <v>98.782712000000004</v>
      </c>
      <c r="D48" s="49">
        <v>94.756646000000003</v>
      </c>
      <c r="E48" s="49">
        <v>97.887172000000007</v>
      </c>
      <c r="F48" s="49">
        <v>109.907777</v>
      </c>
      <c r="G48" s="121">
        <v>102.66</v>
      </c>
      <c r="H48" s="49">
        <v>2.6027999999999998</v>
      </c>
      <c r="I48" s="49">
        <v>124</v>
      </c>
    </row>
    <row r="49" spans="1:9" x14ac:dyDescent="0.25">
      <c r="A49" s="46">
        <v>41183</v>
      </c>
      <c r="B49" s="50">
        <f t="shared" si="0"/>
        <v>2012</v>
      </c>
      <c r="C49" s="49">
        <v>98.806766999999994</v>
      </c>
      <c r="D49" s="49">
        <v>94.373965999999996</v>
      </c>
      <c r="E49" s="49">
        <v>97.902814000000006</v>
      </c>
      <c r="F49" s="49">
        <v>109.728272</v>
      </c>
      <c r="G49" s="121">
        <v>102.55</v>
      </c>
      <c r="H49" s="49">
        <v>2.5876000000000001</v>
      </c>
      <c r="I49" s="49">
        <v>108.04347826087</v>
      </c>
    </row>
    <row r="50" spans="1:9" x14ac:dyDescent="0.25">
      <c r="A50" s="46">
        <v>41214</v>
      </c>
      <c r="B50" s="50">
        <f t="shared" si="0"/>
        <v>2012</v>
      </c>
      <c r="C50" s="49">
        <v>98.583945</v>
      </c>
      <c r="D50" s="49">
        <v>94.500440999999995</v>
      </c>
      <c r="E50" s="49">
        <v>97.962235000000007</v>
      </c>
      <c r="F50" s="49">
        <v>109.57743000000001</v>
      </c>
      <c r="G50" s="121">
        <v>102.48</v>
      </c>
      <c r="H50" s="49">
        <v>2.5986250000000002</v>
      </c>
      <c r="I50" s="49">
        <v>122.954545454545</v>
      </c>
    </row>
    <row r="51" spans="1:9" x14ac:dyDescent="0.25">
      <c r="A51" s="46">
        <v>41244</v>
      </c>
      <c r="B51" s="50">
        <f t="shared" si="0"/>
        <v>2012</v>
      </c>
      <c r="C51" s="49">
        <v>98.469825999999998</v>
      </c>
      <c r="D51" s="49">
        <v>93.999886000000004</v>
      </c>
      <c r="E51" s="49">
        <v>97.985309999999998</v>
      </c>
      <c r="F51" s="49">
        <v>109.860989</v>
      </c>
      <c r="G51" s="121">
        <v>102.65</v>
      </c>
      <c r="H51" s="49">
        <v>2.5668888888888901</v>
      </c>
      <c r="I51" s="49">
        <v>117.19047619047601</v>
      </c>
    </row>
    <row r="52" spans="1:9" x14ac:dyDescent="0.25">
      <c r="A52" s="46">
        <v>41275</v>
      </c>
      <c r="B52" s="50">
        <f t="shared" si="0"/>
        <v>2013</v>
      </c>
      <c r="C52" s="49">
        <v>97.705692999999997</v>
      </c>
      <c r="D52" s="49">
        <v>94.026263</v>
      </c>
      <c r="E52" s="49">
        <v>97.924581000000003</v>
      </c>
      <c r="F52" s="49">
        <v>109.98778799999999</v>
      </c>
      <c r="G52" s="121">
        <v>102.78</v>
      </c>
      <c r="H52" s="49">
        <v>2.5519090909090898</v>
      </c>
      <c r="I52" s="49">
        <v>109.857142857143</v>
      </c>
    </row>
    <row r="53" spans="1:9" x14ac:dyDescent="0.25">
      <c r="A53" s="46">
        <v>41306</v>
      </c>
      <c r="B53" s="50">
        <f t="shared" si="0"/>
        <v>2013</v>
      </c>
      <c r="C53" s="49">
        <v>97.779777999999993</v>
      </c>
      <c r="D53" s="49">
        <v>94.248480000000001</v>
      </c>
      <c r="E53" s="49">
        <v>98.490555999999998</v>
      </c>
      <c r="F53" s="49">
        <v>109.891941</v>
      </c>
      <c r="G53" s="121">
        <v>102.74</v>
      </c>
      <c r="H53" s="49">
        <v>2.57805263157895</v>
      </c>
      <c r="I53" s="49">
        <v>127.210526315789</v>
      </c>
    </row>
    <row r="54" spans="1:9" x14ac:dyDescent="0.25">
      <c r="A54" s="46">
        <v>41334</v>
      </c>
      <c r="B54" s="50">
        <f t="shared" si="0"/>
        <v>2013</v>
      </c>
      <c r="C54" s="49">
        <v>98.055379000000002</v>
      </c>
      <c r="D54" s="49">
        <v>94.654342999999997</v>
      </c>
      <c r="E54" s="49">
        <v>99.025264000000007</v>
      </c>
      <c r="F54" s="49">
        <v>110.887497</v>
      </c>
      <c r="G54" s="121">
        <v>103.55</v>
      </c>
      <c r="H54" s="49">
        <v>2.5939473684210501</v>
      </c>
      <c r="I54" s="49">
        <v>139.94999999999999</v>
      </c>
    </row>
    <row r="55" spans="1:9" x14ac:dyDescent="0.25">
      <c r="A55" s="46">
        <v>41365</v>
      </c>
      <c r="B55" s="50">
        <f t="shared" si="0"/>
        <v>2013</v>
      </c>
      <c r="C55" s="49">
        <v>98.102304000000004</v>
      </c>
      <c r="D55" s="49">
        <v>94.735647999999998</v>
      </c>
      <c r="E55" s="49">
        <v>99.148184999999998</v>
      </c>
      <c r="F55" s="49">
        <v>111.167362</v>
      </c>
      <c r="G55" s="121">
        <v>103.82</v>
      </c>
      <c r="H55" s="49">
        <v>2.5975000000000001</v>
      </c>
      <c r="I55" s="49">
        <v>132.54545454545499</v>
      </c>
    </row>
    <row r="56" spans="1:9" x14ac:dyDescent="0.25">
      <c r="A56" s="46">
        <v>41395</v>
      </c>
      <c r="B56" s="50">
        <f t="shared" si="0"/>
        <v>2013</v>
      </c>
      <c r="C56" s="49">
        <v>97.812589000000003</v>
      </c>
      <c r="D56" s="49">
        <v>95.441450000000003</v>
      </c>
      <c r="E56" s="49">
        <v>99.301221999999996</v>
      </c>
      <c r="F56" s="49">
        <v>111.382566</v>
      </c>
      <c r="G56" s="121">
        <v>103.98</v>
      </c>
      <c r="H56" s="49">
        <v>2.64438636363636</v>
      </c>
      <c r="I56" s="49">
        <v>133.04545454545499</v>
      </c>
    </row>
    <row r="57" spans="1:9" x14ac:dyDescent="0.25">
      <c r="A57" s="46">
        <v>41426</v>
      </c>
      <c r="B57" s="50">
        <f t="shared" si="0"/>
        <v>2013</v>
      </c>
      <c r="C57" s="49">
        <v>98.612014000000002</v>
      </c>
      <c r="D57" s="49">
        <v>97.411964999999995</v>
      </c>
      <c r="E57" s="49">
        <v>99.890574999999998</v>
      </c>
      <c r="F57" s="49">
        <v>111.67416299999999</v>
      </c>
      <c r="G57" s="121">
        <v>104.23</v>
      </c>
      <c r="H57" s="49">
        <v>2.7475000000000001</v>
      </c>
      <c r="I57" s="49">
        <v>179.8</v>
      </c>
    </row>
    <row r="58" spans="1:9" x14ac:dyDescent="0.25">
      <c r="A58" s="46">
        <v>41456</v>
      </c>
      <c r="B58" s="50">
        <f t="shared" si="0"/>
        <v>2013</v>
      </c>
      <c r="C58" s="49">
        <v>99.567892999999998</v>
      </c>
      <c r="D58" s="49">
        <v>98.830203999999995</v>
      </c>
      <c r="E58" s="49">
        <v>100.046108</v>
      </c>
      <c r="F58" s="49">
        <v>112.286672</v>
      </c>
      <c r="G58" s="121">
        <v>104.78</v>
      </c>
      <c r="H58" s="49">
        <v>2.7767142857142901</v>
      </c>
      <c r="I58" s="49">
        <v>175</v>
      </c>
    </row>
    <row r="59" spans="1:9" x14ac:dyDescent="0.25">
      <c r="A59" s="46">
        <v>41487</v>
      </c>
      <c r="B59" s="50">
        <f t="shared" si="0"/>
        <v>2013</v>
      </c>
      <c r="C59" s="49">
        <v>100.40927499999999</v>
      </c>
      <c r="D59" s="49">
        <v>99.251388000000006</v>
      </c>
      <c r="E59" s="49">
        <v>100.08868699999999</v>
      </c>
      <c r="F59" s="49">
        <v>112.896282</v>
      </c>
      <c r="G59" s="121">
        <v>105.35</v>
      </c>
      <c r="H59" s="49">
        <v>2.8017380952380999</v>
      </c>
      <c r="I59" s="49">
        <v>190.54545454545499</v>
      </c>
    </row>
    <row r="60" spans="1:9" x14ac:dyDescent="0.25">
      <c r="A60" s="46">
        <v>41518</v>
      </c>
      <c r="B60" s="50">
        <f t="shared" si="0"/>
        <v>2013</v>
      </c>
      <c r="C60" s="49">
        <v>100.930875</v>
      </c>
      <c r="D60" s="49">
        <v>99.172291999999999</v>
      </c>
      <c r="E60" s="49">
        <v>100.101162</v>
      </c>
      <c r="F60" s="49">
        <v>113.019091</v>
      </c>
      <c r="G60" s="121">
        <v>105.58</v>
      </c>
      <c r="H60" s="49">
        <v>2.7785714285714298</v>
      </c>
      <c r="I60" s="49">
        <v>182.2</v>
      </c>
    </row>
    <row r="61" spans="1:9" x14ac:dyDescent="0.25">
      <c r="A61" s="46">
        <v>41548</v>
      </c>
      <c r="B61" s="50">
        <f t="shared" si="0"/>
        <v>2013</v>
      </c>
      <c r="C61" s="49">
        <v>100.51232</v>
      </c>
      <c r="D61" s="49">
        <v>99.109568999999993</v>
      </c>
      <c r="E61" s="49">
        <v>100.21827399999999</v>
      </c>
      <c r="F61" s="49">
        <v>113.06234600000001</v>
      </c>
      <c r="G61" s="121">
        <v>105.64</v>
      </c>
      <c r="H61" s="49">
        <v>2.7691190476190499</v>
      </c>
      <c r="I61" s="49">
        <v>173.18181818181799</v>
      </c>
    </row>
    <row r="62" spans="1:9" x14ac:dyDescent="0.25">
      <c r="A62" s="46">
        <v>41579</v>
      </c>
      <c r="B62" s="50">
        <f t="shared" si="0"/>
        <v>2013</v>
      </c>
      <c r="C62" s="49">
        <v>100.10692</v>
      </c>
      <c r="D62" s="49">
        <v>99.437229000000002</v>
      </c>
      <c r="E62" s="49">
        <v>100.03873900000001</v>
      </c>
      <c r="F62" s="49">
        <v>112.815595</v>
      </c>
      <c r="G62" s="121">
        <v>105.57</v>
      </c>
      <c r="H62" s="49">
        <v>2.7981250000000002</v>
      </c>
      <c r="I62" s="49">
        <v>182.444444444444</v>
      </c>
    </row>
    <row r="63" spans="1:9" x14ac:dyDescent="0.25">
      <c r="A63" s="46">
        <v>41609</v>
      </c>
      <c r="B63" s="50">
        <f t="shared" si="0"/>
        <v>2013</v>
      </c>
      <c r="C63" s="49">
        <v>100</v>
      </c>
      <c r="D63" s="49">
        <v>100</v>
      </c>
      <c r="E63" s="49">
        <v>100</v>
      </c>
      <c r="F63" s="49">
        <v>113.002663</v>
      </c>
      <c r="G63" s="121">
        <v>105.81</v>
      </c>
      <c r="H63" s="49">
        <v>2.78525</v>
      </c>
      <c r="I63" s="49">
        <v>177.19047619047601</v>
      </c>
    </row>
    <row r="64" spans="1:9" x14ac:dyDescent="0.25">
      <c r="A64" s="46">
        <v>41640</v>
      </c>
      <c r="B64" s="50">
        <f t="shared" si="0"/>
        <v>2014</v>
      </c>
      <c r="C64" s="49">
        <v>100.02515699999999</v>
      </c>
      <c r="D64" s="49">
        <v>100.344337</v>
      </c>
      <c r="E64" s="49">
        <v>100.128319</v>
      </c>
      <c r="F64" s="49">
        <v>113.360708</v>
      </c>
      <c r="G64" s="121">
        <v>106.07</v>
      </c>
      <c r="H64" s="49">
        <v>2.8089318181818199</v>
      </c>
      <c r="I64" s="49">
        <v>177.04761904761901</v>
      </c>
    </row>
    <row r="65" spans="1:9" x14ac:dyDescent="0.25">
      <c r="A65" s="46">
        <v>41671</v>
      </c>
      <c r="B65" s="50">
        <f t="shared" si="0"/>
        <v>2014</v>
      </c>
      <c r="C65" s="49">
        <v>100.22933999999999</v>
      </c>
      <c r="D65" s="49">
        <v>100.340963</v>
      </c>
      <c r="E65" s="49">
        <v>100.533503</v>
      </c>
      <c r="F65" s="49">
        <v>114.04182299999999</v>
      </c>
      <c r="G65" s="121">
        <v>106.63</v>
      </c>
      <c r="H65" s="49">
        <v>2.8126500000000001</v>
      </c>
      <c r="I65" s="49">
        <v>182.52631578947401</v>
      </c>
    </row>
    <row r="66" spans="1:9" x14ac:dyDescent="0.25">
      <c r="A66" s="46">
        <v>41699</v>
      </c>
      <c r="B66" s="50">
        <f t="shared" si="0"/>
        <v>2014</v>
      </c>
      <c r="C66" s="49">
        <v>100.611395</v>
      </c>
      <c r="D66" s="49">
        <v>100.780878</v>
      </c>
      <c r="E66" s="49">
        <v>100.737039</v>
      </c>
      <c r="F66" s="49">
        <v>114.633197</v>
      </c>
      <c r="G66" s="121">
        <v>107.21</v>
      </c>
      <c r="H66" s="49">
        <v>2.80638095238095</v>
      </c>
      <c r="I66" s="49">
        <v>167.23809523809501</v>
      </c>
    </row>
    <row r="67" spans="1:9" x14ac:dyDescent="0.25">
      <c r="A67" s="46">
        <v>41730</v>
      </c>
      <c r="B67" s="50">
        <f t="shared" si="0"/>
        <v>2014</v>
      </c>
      <c r="C67" s="49">
        <v>100.67067</v>
      </c>
      <c r="D67" s="49">
        <v>100.679098</v>
      </c>
      <c r="E67" s="49">
        <v>100.704579</v>
      </c>
      <c r="F67" s="49">
        <v>115.08396</v>
      </c>
      <c r="G67" s="121">
        <v>107.69</v>
      </c>
      <c r="H67" s="49">
        <v>2.7943750000000001</v>
      </c>
      <c r="I67" s="49">
        <v>153.80952380952399</v>
      </c>
    </row>
    <row r="68" spans="1:9" x14ac:dyDescent="0.25">
      <c r="A68" s="46">
        <v>41760</v>
      </c>
      <c r="B68" s="50">
        <f t="shared" ref="B68:B131" si="3">YEAR(A68)</f>
        <v>2014</v>
      </c>
      <c r="C68" s="49">
        <v>100.854473</v>
      </c>
      <c r="D68" s="49">
        <v>100.521237</v>
      </c>
      <c r="E68" s="49">
        <v>100.758679</v>
      </c>
      <c r="F68" s="49">
        <v>115.342934</v>
      </c>
      <c r="G68" s="121">
        <v>107.93</v>
      </c>
      <c r="H68" s="49">
        <v>2.7869761904761901</v>
      </c>
      <c r="I68" s="49">
        <v>149.23809523809501</v>
      </c>
    </row>
    <row r="69" spans="1:9" x14ac:dyDescent="0.25">
      <c r="A69" s="46">
        <v>41791</v>
      </c>
      <c r="B69" s="50">
        <f t="shared" si="3"/>
        <v>2014</v>
      </c>
      <c r="C69" s="49">
        <v>100.702046</v>
      </c>
      <c r="D69" s="49">
        <v>100.443532</v>
      </c>
      <c r="E69" s="49">
        <v>100.79722099999999</v>
      </c>
      <c r="F69" s="49">
        <v>115.526534</v>
      </c>
      <c r="G69" s="121">
        <v>108.08</v>
      </c>
      <c r="H69" s="49">
        <v>2.7942380952380899</v>
      </c>
      <c r="I69" s="49">
        <v>145.42857142857099</v>
      </c>
    </row>
    <row r="70" spans="1:9" x14ac:dyDescent="0.25">
      <c r="A70" s="46">
        <v>41821</v>
      </c>
      <c r="B70" s="50">
        <f t="shared" si="3"/>
        <v>2014</v>
      </c>
      <c r="C70" s="49">
        <v>100.80400899999999</v>
      </c>
      <c r="D70" s="49">
        <v>100.637821</v>
      </c>
      <c r="E70" s="49">
        <v>100.78716300000001</v>
      </c>
      <c r="F70" s="49">
        <v>116.027125</v>
      </c>
      <c r="G70" s="121">
        <v>108.51</v>
      </c>
      <c r="H70" s="49">
        <v>2.78609523809524</v>
      </c>
      <c r="I70" s="49">
        <v>146.81818181818201</v>
      </c>
    </row>
    <row r="71" spans="1:9" x14ac:dyDescent="0.25">
      <c r="A71" s="46">
        <v>41852</v>
      </c>
      <c r="B71" s="50">
        <f t="shared" si="3"/>
        <v>2014</v>
      </c>
      <c r="C71" s="49">
        <v>101.015792</v>
      </c>
      <c r="D71" s="49">
        <v>100.984971</v>
      </c>
      <c r="E71" s="49">
        <v>100.886861</v>
      </c>
      <c r="F71" s="49">
        <v>115.92778300000001</v>
      </c>
      <c r="G71" s="121">
        <v>108.45</v>
      </c>
      <c r="H71" s="49">
        <v>2.8144761904761899</v>
      </c>
      <c r="I71" s="49">
        <v>157.28571428571399</v>
      </c>
    </row>
    <row r="72" spans="1:9" x14ac:dyDescent="0.25">
      <c r="A72" s="46">
        <v>41883</v>
      </c>
      <c r="B72" s="50">
        <f t="shared" si="3"/>
        <v>2014</v>
      </c>
      <c r="C72" s="49">
        <v>101.363528</v>
      </c>
      <c r="D72" s="49">
        <v>102.084761</v>
      </c>
      <c r="E72" s="49">
        <v>101.96742</v>
      </c>
      <c r="F72" s="49">
        <v>116.11385</v>
      </c>
      <c r="G72" s="121">
        <v>108.65</v>
      </c>
      <c r="H72" s="49">
        <v>2.8639545454545501</v>
      </c>
      <c r="I72" s="49">
        <v>149.68181818181799</v>
      </c>
    </row>
    <row r="73" spans="1:9" x14ac:dyDescent="0.25">
      <c r="A73" s="46">
        <v>41913</v>
      </c>
      <c r="B73" s="50">
        <f t="shared" si="3"/>
        <v>2014</v>
      </c>
      <c r="C73" s="49">
        <v>101.861474</v>
      </c>
      <c r="D73" s="49">
        <v>103.23202499999999</v>
      </c>
      <c r="E73" s="49">
        <v>102.583688</v>
      </c>
      <c r="F73" s="49">
        <v>116.553757</v>
      </c>
      <c r="G73" s="121">
        <v>109.14</v>
      </c>
      <c r="H73" s="49">
        <v>2.9060454545454499</v>
      </c>
      <c r="I73" s="49">
        <v>170.26086956521701</v>
      </c>
    </row>
    <row r="74" spans="1:9" x14ac:dyDescent="0.25">
      <c r="A74" s="46">
        <v>41944</v>
      </c>
      <c r="B74" s="50">
        <f t="shared" si="3"/>
        <v>2014</v>
      </c>
      <c r="C74" s="49">
        <v>101.790116</v>
      </c>
      <c r="D74" s="49">
        <v>104.14664399999999</v>
      </c>
      <c r="E74" s="49">
        <v>102.894807</v>
      </c>
      <c r="F74" s="49">
        <v>116.379555</v>
      </c>
      <c r="G74" s="121">
        <v>109.05</v>
      </c>
      <c r="H74" s="49">
        <v>2.9250750000000001</v>
      </c>
      <c r="I74" s="49">
        <v>165.35</v>
      </c>
    </row>
    <row r="75" spans="1:9" x14ac:dyDescent="0.25">
      <c r="A75" s="46">
        <v>41974</v>
      </c>
      <c r="B75" s="50">
        <f t="shared" si="3"/>
        <v>2014</v>
      </c>
      <c r="C75" s="49">
        <v>101.473342</v>
      </c>
      <c r="D75" s="49">
        <v>104.575384</v>
      </c>
      <c r="E75" s="49">
        <v>102.948802</v>
      </c>
      <c r="F75" s="49">
        <v>116.645938</v>
      </c>
      <c r="G75" s="121">
        <v>109.2</v>
      </c>
      <c r="H75" s="49">
        <v>2.9615</v>
      </c>
      <c r="I75" s="49">
        <v>181.91304347826099</v>
      </c>
    </row>
    <row r="76" spans="1:9" x14ac:dyDescent="0.25">
      <c r="A76" s="46">
        <v>42005</v>
      </c>
      <c r="B76" s="50">
        <f t="shared" si="3"/>
        <v>2015</v>
      </c>
      <c r="C76" s="49">
        <v>101.15824499999999</v>
      </c>
      <c r="D76" s="49">
        <v>105.48645399999999</v>
      </c>
      <c r="E76" s="49">
        <v>104.051461</v>
      </c>
      <c r="F76" s="49">
        <v>116.84458100000001</v>
      </c>
      <c r="G76" s="121">
        <v>109.42</v>
      </c>
      <c r="H76" s="49">
        <v>3.005525</v>
      </c>
      <c r="I76" s="49">
        <v>201.8</v>
      </c>
    </row>
    <row r="77" spans="1:9" x14ac:dyDescent="0.25">
      <c r="A77" s="46">
        <v>42036</v>
      </c>
      <c r="B77" s="50">
        <f t="shared" si="3"/>
        <v>2015</v>
      </c>
      <c r="C77" s="49">
        <v>101.51252700000001</v>
      </c>
      <c r="D77" s="49">
        <v>107.34772</v>
      </c>
      <c r="E77" s="49">
        <v>104.536053</v>
      </c>
      <c r="F77" s="49">
        <v>117.199168</v>
      </c>
      <c r="G77" s="121">
        <v>109.74</v>
      </c>
      <c r="H77" s="49">
        <v>3.078525</v>
      </c>
      <c r="I77" s="49">
        <v>182.842105263158</v>
      </c>
    </row>
    <row r="78" spans="1:9" x14ac:dyDescent="0.25">
      <c r="A78" s="46">
        <v>42064</v>
      </c>
      <c r="B78" s="50">
        <f t="shared" si="3"/>
        <v>2015</v>
      </c>
      <c r="C78" s="49">
        <v>102.210227</v>
      </c>
      <c r="D78" s="49">
        <v>108.285129</v>
      </c>
      <c r="E78" s="49">
        <v>105.064567</v>
      </c>
      <c r="F78" s="49">
        <v>118.095348</v>
      </c>
      <c r="G78" s="121">
        <v>110.49</v>
      </c>
      <c r="H78" s="49">
        <v>3.09168181818182</v>
      </c>
      <c r="I78" s="49">
        <v>184.45454545454501</v>
      </c>
    </row>
    <row r="79" spans="1:9" x14ac:dyDescent="0.25">
      <c r="A79" s="46">
        <v>42095</v>
      </c>
      <c r="B79" s="50">
        <f t="shared" si="3"/>
        <v>2015</v>
      </c>
      <c r="C79" s="49">
        <v>102.161903</v>
      </c>
      <c r="D79" s="49">
        <v>108.58649200000001</v>
      </c>
      <c r="E79" s="49">
        <v>105.133734</v>
      </c>
      <c r="F79" s="49">
        <v>118.556518</v>
      </c>
      <c r="G79" s="121">
        <v>110.89</v>
      </c>
      <c r="H79" s="49">
        <v>3.1199525000000001</v>
      </c>
      <c r="I79" s="49">
        <v>176.95454545454501</v>
      </c>
    </row>
    <row r="80" spans="1:9" x14ac:dyDescent="0.25">
      <c r="A80" s="46">
        <v>42125</v>
      </c>
      <c r="B80" s="50">
        <f t="shared" si="3"/>
        <v>2015</v>
      </c>
      <c r="C80" s="49">
        <v>102.550119</v>
      </c>
      <c r="D80" s="49">
        <v>109.314706</v>
      </c>
      <c r="E80" s="49">
        <v>105.287181</v>
      </c>
      <c r="F80" s="49">
        <v>119.22561</v>
      </c>
      <c r="G80" s="121">
        <v>111.36</v>
      </c>
      <c r="H80" s="49">
        <v>3.1504500000000002</v>
      </c>
      <c r="I80" s="49">
        <v>165.9</v>
      </c>
    </row>
    <row r="81" spans="1:9" x14ac:dyDescent="0.25">
      <c r="A81" s="46">
        <v>42156</v>
      </c>
      <c r="B81" s="50">
        <f t="shared" si="3"/>
        <v>2015</v>
      </c>
      <c r="C81" s="49">
        <v>102.817342</v>
      </c>
      <c r="D81" s="49">
        <v>109.721079</v>
      </c>
      <c r="E81" s="49">
        <v>104.964899</v>
      </c>
      <c r="F81" s="49">
        <v>119.62184600000001</v>
      </c>
      <c r="G81" s="121">
        <v>111.63</v>
      </c>
      <c r="H81" s="49">
        <v>3.1612380952380899</v>
      </c>
      <c r="I81" s="49">
        <v>176.5</v>
      </c>
    </row>
    <row r="82" spans="1:9" x14ac:dyDescent="0.25">
      <c r="A82" s="46">
        <v>42186</v>
      </c>
      <c r="B82" s="50">
        <f t="shared" si="3"/>
        <v>2015</v>
      </c>
      <c r="C82" s="49">
        <v>102.77321499999999</v>
      </c>
      <c r="D82" s="49">
        <v>110.14050899999999</v>
      </c>
      <c r="E82" s="49">
        <v>104.779552</v>
      </c>
      <c r="F82" s="49">
        <v>120.161085</v>
      </c>
      <c r="G82" s="121">
        <v>112.11</v>
      </c>
      <c r="H82" s="49">
        <v>3.1812499999999999</v>
      </c>
      <c r="I82" s="49">
        <v>187.31818181818201</v>
      </c>
    </row>
    <row r="83" spans="1:9" x14ac:dyDescent="0.25">
      <c r="A83" s="46">
        <v>42217</v>
      </c>
      <c r="B83" s="50">
        <f t="shared" si="3"/>
        <v>2015</v>
      </c>
      <c r="C83" s="49">
        <v>103.024204</v>
      </c>
      <c r="D83" s="49">
        <v>111.1835</v>
      </c>
      <c r="E83" s="49">
        <v>104.891626</v>
      </c>
      <c r="F83" s="49">
        <v>120.61436399999999</v>
      </c>
      <c r="G83" s="121">
        <v>112.57</v>
      </c>
      <c r="H83" s="49">
        <v>3.23835714285714</v>
      </c>
      <c r="I83" s="49">
        <v>217.47619047619</v>
      </c>
    </row>
    <row r="84" spans="1:9" x14ac:dyDescent="0.25">
      <c r="A84" s="46">
        <v>42248</v>
      </c>
      <c r="B84" s="50">
        <f t="shared" si="3"/>
        <v>2015</v>
      </c>
      <c r="C84" s="49">
        <v>103.25502899999999</v>
      </c>
      <c r="D84" s="49">
        <v>111.419901</v>
      </c>
      <c r="E84" s="49">
        <v>105.543525</v>
      </c>
      <c r="F84" s="49">
        <v>120.64757899999999</v>
      </c>
      <c r="G84" s="121">
        <v>112.67</v>
      </c>
      <c r="H84" s="49">
        <v>3.21861363636364</v>
      </c>
      <c r="I84" s="49">
        <v>234.04761904761901</v>
      </c>
    </row>
    <row r="85" spans="1:9" x14ac:dyDescent="0.25">
      <c r="A85" s="46">
        <v>42278</v>
      </c>
      <c r="B85" s="50">
        <f t="shared" si="3"/>
        <v>2015</v>
      </c>
      <c r="C85" s="49">
        <v>103.27552</v>
      </c>
      <c r="D85" s="49">
        <v>111.678217</v>
      </c>
      <c r="E85" s="49">
        <v>105.691025</v>
      </c>
      <c r="F85" s="49">
        <v>120.819863</v>
      </c>
      <c r="G85" s="121">
        <v>112.82</v>
      </c>
      <c r="H85" s="49">
        <v>3.2483749999999998</v>
      </c>
      <c r="I85" s="49">
        <v>226.09523809523799</v>
      </c>
    </row>
    <row r="86" spans="1:9" x14ac:dyDescent="0.25">
      <c r="A86" s="46">
        <v>42309</v>
      </c>
      <c r="B86" s="50">
        <f t="shared" si="3"/>
        <v>2015</v>
      </c>
      <c r="C86" s="49">
        <v>104.021033</v>
      </c>
      <c r="D86" s="49">
        <v>113.62808</v>
      </c>
      <c r="E86" s="49">
        <v>105.93079899999999</v>
      </c>
      <c r="F86" s="49">
        <v>121.23557</v>
      </c>
      <c r="G86" s="121">
        <v>113.26</v>
      </c>
      <c r="H86" s="49">
        <v>3.3366428571428601</v>
      </c>
      <c r="I86" s="49">
        <v>218.73684210526301</v>
      </c>
    </row>
    <row r="87" spans="1:9" x14ac:dyDescent="0.25">
      <c r="A87" s="46">
        <v>42339</v>
      </c>
      <c r="B87" s="50">
        <f t="shared" si="3"/>
        <v>2015</v>
      </c>
      <c r="C87" s="49">
        <v>104.101632</v>
      </c>
      <c r="D87" s="49">
        <v>114.870019</v>
      </c>
      <c r="E87" s="49">
        <v>105.79188499999999</v>
      </c>
      <c r="F87" s="49">
        <v>121.775943</v>
      </c>
      <c r="G87" s="121">
        <v>113.71</v>
      </c>
      <c r="H87" s="49">
        <v>3.3826666666666698</v>
      </c>
      <c r="I87" s="49">
        <v>236.40909090909099</v>
      </c>
    </row>
    <row r="88" spans="1:9" x14ac:dyDescent="0.25">
      <c r="A88" s="46">
        <v>42370</v>
      </c>
      <c r="B88" s="50">
        <f t="shared" si="3"/>
        <v>2016</v>
      </c>
      <c r="C88" s="49">
        <v>104.129063</v>
      </c>
      <c r="D88" s="49">
        <v>116.208079</v>
      </c>
      <c r="E88" s="49">
        <v>107.675321</v>
      </c>
      <c r="F88" s="49">
        <v>122.22958300000001</v>
      </c>
      <c r="G88" s="121">
        <v>114.18</v>
      </c>
      <c r="H88" s="49">
        <v>3.437325</v>
      </c>
      <c r="I88" s="49">
        <v>266.31578947368422</v>
      </c>
    </row>
    <row r="89" spans="1:9" x14ac:dyDescent="0.25">
      <c r="A89" s="46">
        <v>42401</v>
      </c>
      <c r="B89" s="50">
        <f t="shared" si="3"/>
        <v>2016</v>
      </c>
      <c r="C89" s="49">
        <v>104.371647</v>
      </c>
      <c r="D89" s="49">
        <v>117.795953</v>
      </c>
      <c r="E89" s="49">
        <v>107.786725</v>
      </c>
      <c r="F89" s="49">
        <v>122.442374</v>
      </c>
      <c r="G89" s="121">
        <v>114.37</v>
      </c>
      <c r="H89" s="49">
        <v>3.5059047619047599</v>
      </c>
      <c r="I89" s="49">
        <v>281.7</v>
      </c>
    </row>
    <row r="90" spans="1:9" x14ac:dyDescent="0.25">
      <c r="A90" s="46">
        <v>42430</v>
      </c>
      <c r="B90" s="50">
        <f t="shared" si="3"/>
        <v>2016</v>
      </c>
      <c r="C90" s="49">
        <v>104.065551</v>
      </c>
      <c r="D90" s="49">
        <v>116.717404</v>
      </c>
      <c r="E90" s="49">
        <v>107.406916</v>
      </c>
      <c r="F90" s="49">
        <v>123.174724</v>
      </c>
      <c r="G90" s="121">
        <v>115.06</v>
      </c>
      <c r="H90" s="49">
        <v>3.40738095238095</v>
      </c>
      <c r="I90" s="49">
        <v>226.90909090909091</v>
      </c>
    </row>
    <row r="91" spans="1:9" x14ac:dyDescent="0.25">
      <c r="A91" s="46">
        <v>42461</v>
      </c>
      <c r="B91" s="50">
        <f t="shared" si="3"/>
        <v>2016</v>
      </c>
      <c r="C91" s="49">
        <v>103.366032</v>
      </c>
      <c r="D91" s="49">
        <v>113.89753</v>
      </c>
      <c r="E91" s="49">
        <v>107.583496</v>
      </c>
      <c r="F91" s="49">
        <v>123.188774</v>
      </c>
      <c r="G91" s="121">
        <v>115.08</v>
      </c>
      <c r="H91" s="49">
        <v>3.3015476190476201</v>
      </c>
      <c r="I91" s="49">
        <v>210.04761904761904</v>
      </c>
    </row>
    <row r="92" spans="1:9" x14ac:dyDescent="0.25">
      <c r="A92" s="46">
        <v>42491</v>
      </c>
      <c r="B92" s="50">
        <f t="shared" si="3"/>
        <v>2016</v>
      </c>
      <c r="C92" s="49">
        <v>103.286323</v>
      </c>
      <c r="D92" s="49">
        <v>113.742963</v>
      </c>
      <c r="E92" s="49">
        <v>108.713493</v>
      </c>
      <c r="F92" s="49">
        <v>123.446933</v>
      </c>
      <c r="G92" s="121">
        <v>115.21</v>
      </c>
      <c r="H92" s="49">
        <v>3.3337272727272702</v>
      </c>
      <c r="I92" s="49">
        <v>207.9047619047619</v>
      </c>
    </row>
    <row r="93" spans="1:9" x14ac:dyDescent="0.25">
      <c r="A93" s="46">
        <v>42522</v>
      </c>
      <c r="B93" s="50">
        <f t="shared" si="3"/>
        <v>2016</v>
      </c>
      <c r="C93" s="49">
        <v>103.864684</v>
      </c>
      <c r="D93" s="49">
        <v>114.168114</v>
      </c>
      <c r="E93" s="49">
        <v>108.79571900000001</v>
      </c>
      <c r="F93" s="49">
        <v>123.619152</v>
      </c>
      <c r="G93" s="121">
        <v>115.39</v>
      </c>
      <c r="H93" s="49">
        <v>3.3165714285714301</v>
      </c>
      <c r="I93" s="49">
        <v>209.90909090909091</v>
      </c>
    </row>
    <row r="94" spans="1:9" x14ac:dyDescent="0.25">
      <c r="A94" s="46">
        <v>42552</v>
      </c>
      <c r="B94" s="50">
        <f t="shared" si="3"/>
        <v>2016</v>
      </c>
      <c r="C94" s="49">
        <v>103.55566899999999</v>
      </c>
      <c r="D94" s="49">
        <v>113.281497</v>
      </c>
      <c r="E94" s="49">
        <v>108.547985</v>
      </c>
      <c r="F94" s="49">
        <v>123.720207</v>
      </c>
      <c r="G94" s="121">
        <v>115.6</v>
      </c>
      <c r="H94" s="49">
        <v>3.2987368421052601</v>
      </c>
      <c r="I94" s="49">
        <v>183.75</v>
      </c>
    </row>
    <row r="95" spans="1:9" x14ac:dyDescent="0.25">
      <c r="A95" s="46">
        <v>42583</v>
      </c>
      <c r="B95" s="50">
        <f t="shared" si="3"/>
        <v>2016</v>
      </c>
      <c r="C95" s="49">
        <v>104.000491</v>
      </c>
      <c r="D95" s="49">
        <v>114.17237</v>
      </c>
      <c r="E95" s="49">
        <v>108.70204200000001</v>
      </c>
      <c r="F95" s="49">
        <v>124.163479</v>
      </c>
      <c r="G95" s="121">
        <v>115.94</v>
      </c>
      <c r="H95" s="49">
        <v>3.33304545454545</v>
      </c>
      <c r="I95" s="49">
        <v>169.60869565217391</v>
      </c>
    </row>
    <row r="96" spans="1:9" x14ac:dyDescent="0.25">
      <c r="A96" s="46">
        <v>42614</v>
      </c>
      <c r="B96" s="50">
        <f t="shared" si="3"/>
        <v>2016</v>
      </c>
      <c r="C96" s="49">
        <v>104.821468</v>
      </c>
      <c r="D96" s="49">
        <v>115.41549999999999</v>
      </c>
      <c r="E96" s="49">
        <v>108.79270200000001</v>
      </c>
      <c r="F96" s="49">
        <v>124.419832</v>
      </c>
      <c r="G96" s="121">
        <v>116.21</v>
      </c>
      <c r="H96" s="49">
        <v>3.38229545454546</v>
      </c>
      <c r="I96" s="49">
        <v>161.85714285714286</v>
      </c>
    </row>
    <row r="97" spans="1:9" x14ac:dyDescent="0.25">
      <c r="A97" s="46">
        <v>42644</v>
      </c>
      <c r="B97" s="50">
        <f t="shared" si="3"/>
        <v>2016</v>
      </c>
      <c r="C97" s="49">
        <v>105.30253999999999</v>
      </c>
      <c r="D97" s="49">
        <v>115.55341</v>
      </c>
      <c r="E97" s="49">
        <v>108.704098</v>
      </c>
      <c r="F97" s="49">
        <v>124.934127</v>
      </c>
      <c r="G97" s="121">
        <v>116.72</v>
      </c>
      <c r="H97" s="49">
        <v>3.3859523809523799</v>
      </c>
      <c r="I97" s="49">
        <v>146.6</v>
      </c>
    </row>
    <row r="98" spans="1:9" x14ac:dyDescent="0.25">
      <c r="A98" s="46">
        <v>42675</v>
      </c>
      <c r="B98" s="50">
        <f t="shared" si="3"/>
        <v>2016</v>
      </c>
      <c r="C98" s="49">
        <v>105.531216</v>
      </c>
      <c r="D98" s="49">
        <v>115.674002</v>
      </c>
      <c r="E98" s="49">
        <v>108.777124</v>
      </c>
      <c r="F98" s="49">
        <v>125.296516</v>
      </c>
      <c r="G98" s="121">
        <v>117.09</v>
      </c>
      <c r="H98" s="49">
        <v>3.4028947368421099</v>
      </c>
      <c r="I98" s="49">
        <v>167.65</v>
      </c>
    </row>
    <row r="99" spans="1:9" x14ac:dyDescent="0.25">
      <c r="A99" s="46">
        <v>42705</v>
      </c>
      <c r="B99" s="50">
        <f t="shared" si="3"/>
        <v>2016</v>
      </c>
      <c r="C99" s="49">
        <v>106.095446</v>
      </c>
      <c r="D99" s="49">
        <v>115.929575</v>
      </c>
      <c r="E99" s="49">
        <v>109.168869</v>
      </c>
      <c r="F99" s="49">
        <v>125.71525099999999</v>
      </c>
      <c r="G99" s="121">
        <v>117.51</v>
      </c>
      <c r="H99" s="49">
        <v>3.3953571428571401</v>
      </c>
      <c r="I99" s="49">
        <v>164.8095238095238</v>
      </c>
    </row>
    <row r="100" spans="1:9" x14ac:dyDescent="0.25">
      <c r="A100" s="46">
        <v>42736</v>
      </c>
      <c r="B100" s="50">
        <f t="shared" si="3"/>
        <v>2017</v>
      </c>
      <c r="C100" s="49">
        <v>106.131342</v>
      </c>
      <c r="D100" s="49">
        <v>114.84084300000001</v>
      </c>
      <c r="E100" s="49">
        <v>110.21977200000001</v>
      </c>
      <c r="F100" s="49">
        <v>126.014256</v>
      </c>
      <c r="G100" s="121">
        <v>117.79</v>
      </c>
      <c r="H100" s="49">
        <v>3.34</v>
      </c>
      <c r="I100" s="49">
        <v>157.30000000000001</v>
      </c>
    </row>
    <row r="101" spans="1:9" x14ac:dyDescent="0.25">
      <c r="A101" s="46">
        <v>42767</v>
      </c>
      <c r="B101" s="50">
        <f t="shared" si="3"/>
        <v>2017</v>
      </c>
      <c r="C101" s="49">
        <v>105.469199</v>
      </c>
      <c r="D101" s="49">
        <v>112.884466</v>
      </c>
      <c r="E101" s="49">
        <v>109.767786</v>
      </c>
      <c r="F101" s="49">
        <v>126.421498</v>
      </c>
      <c r="G101" s="121">
        <v>118.2</v>
      </c>
      <c r="H101" s="49">
        <v>3.2598250000000002</v>
      </c>
      <c r="I101" s="49">
        <v>152.10526315789474</v>
      </c>
    </row>
    <row r="102" spans="1:9" x14ac:dyDescent="0.25">
      <c r="A102" s="46">
        <v>42795</v>
      </c>
      <c r="B102" s="50">
        <f t="shared" si="3"/>
        <v>2017</v>
      </c>
      <c r="C102" s="49">
        <v>105.89527099999999</v>
      </c>
      <c r="D102" s="49">
        <v>112.816836</v>
      </c>
      <c r="E102" s="49">
        <v>109.84896000000001</v>
      </c>
      <c r="F102" s="49">
        <v>128.07074</v>
      </c>
      <c r="G102" s="121">
        <v>119.7</v>
      </c>
      <c r="H102" s="49">
        <v>3.26373913043478</v>
      </c>
      <c r="I102" s="49">
        <v>141.08695652173913</v>
      </c>
    </row>
    <row r="103" spans="1:9" x14ac:dyDescent="0.25">
      <c r="A103" s="46">
        <v>42826</v>
      </c>
      <c r="B103" s="50">
        <f t="shared" si="3"/>
        <v>2017</v>
      </c>
      <c r="C103" s="49">
        <v>105.62672499999999</v>
      </c>
      <c r="D103" s="49">
        <v>112.358953</v>
      </c>
      <c r="E103" s="49">
        <v>109.476221</v>
      </c>
      <c r="F103" s="49">
        <v>127.74024900000001</v>
      </c>
      <c r="G103" s="121">
        <v>119.73</v>
      </c>
      <c r="H103" s="49">
        <v>3.2473611111111098</v>
      </c>
      <c r="I103" s="49">
        <v>149.15789473684211</v>
      </c>
    </row>
    <row r="104" spans="1:9" x14ac:dyDescent="0.25">
      <c r="A104" s="46">
        <v>42856</v>
      </c>
      <c r="B104" s="50">
        <f t="shared" si="3"/>
        <v>2017</v>
      </c>
      <c r="C104" s="49">
        <v>105.488294</v>
      </c>
      <c r="D104" s="49">
        <v>112.74492499999999</v>
      </c>
      <c r="E104" s="49">
        <v>109.708012</v>
      </c>
      <c r="F104" s="49">
        <v>127.199476</v>
      </c>
      <c r="G104" s="121">
        <v>119.04</v>
      </c>
      <c r="H104" s="49">
        <v>3.2728636363636401</v>
      </c>
      <c r="I104" s="49">
        <v>141.18181818181819</v>
      </c>
    </row>
    <row r="105" spans="1:9" x14ac:dyDescent="0.25">
      <c r="A105" s="46">
        <v>42887</v>
      </c>
      <c r="B105" s="50">
        <f t="shared" si="3"/>
        <v>2017</v>
      </c>
      <c r="C105" s="49">
        <v>105.35083299999999</v>
      </c>
      <c r="D105" s="49">
        <v>112.82263</v>
      </c>
      <c r="E105" s="49">
        <v>109.822489</v>
      </c>
      <c r="F105" s="49">
        <v>126.996976</v>
      </c>
      <c r="G105" s="121">
        <v>118.87</v>
      </c>
      <c r="H105" s="49">
        <v>3.2677999999999998</v>
      </c>
      <c r="I105" s="49">
        <v>143.5</v>
      </c>
    </row>
    <row r="106" spans="1:9" x14ac:dyDescent="0.25">
      <c r="A106" s="46">
        <v>42917</v>
      </c>
      <c r="B106" s="50">
        <f t="shared" si="3"/>
        <v>2017</v>
      </c>
      <c r="C106" s="49">
        <v>105.23660700000001</v>
      </c>
      <c r="D106" s="49">
        <v>112.017516</v>
      </c>
      <c r="E106" s="49">
        <v>109.91211300000001</v>
      </c>
      <c r="F106" s="49">
        <v>127.24879300000001</v>
      </c>
      <c r="G106" s="121">
        <v>119.11</v>
      </c>
      <c r="H106" s="49">
        <v>3.2489210526315802</v>
      </c>
      <c r="I106" s="49">
        <v>141.9</v>
      </c>
    </row>
    <row r="107" spans="1:9" x14ac:dyDescent="0.25">
      <c r="A107" s="46">
        <v>42948</v>
      </c>
      <c r="B107" s="50">
        <f t="shared" si="3"/>
        <v>2017</v>
      </c>
      <c r="C107" s="49">
        <v>105.432114</v>
      </c>
      <c r="D107" s="49">
        <v>111.80450399999999</v>
      </c>
      <c r="E107" s="49">
        <v>110.839078</v>
      </c>
      <c r="F107" s="49">
        <v>128.10419200000001</v>
      </c>
      <c r="G107" s="121">
        <v>119.85</v>
      </c>
      <c r="H107" s="49">
        <v>3.24143181818182</v>
      </c>
      <c r="I107" s="49">
        <v>155.39130434782609</v>
      </c>
    </row>
    <row r="108" spans="1:9" x14ac:dyDescent="0.25">
      <c r="A108" s="46">
        <v>42979</v>
      </c>
      <c r="B108" s="50">
        <f t="shared" si="3"/>
        <v>2017</v>
      </c>
      <c r="C108" s="49">
        <v>105.65603299999999</v>
      </c>
      <c r="D108" s="49">
        <v>111.72074600000001</v>
      </c>
      <c r="E108" s="49">
        <v>111.35812799999999</v>
      </c>
      <c r="F108" s="49">
        <v>128.08399</v>
      </c>
      <c r="G108" s="121">
        <v>119.91</v>
      </c>
      <c r="H108" s="49">
        <v>3.24616666666667</v>
      </c>
      <c r="I108" s="49">
        <v>144</v>
      </c>
    </row>
    <row r="109" spans="1:9" x14ac:dyDescent="0.25">
      <c r="A109" s="46">
        <v>43009</v>
      </c>
      <c r="B109" s="50">
        <f t="shared" si="3"/>
        <v>2017</v>
      </c>
      <c r="C109" s="49">
        <v>105.577594</v>
      </c>
      <c r="D109" s="49">
        <v>112.156479</v>
      </c>
      <c r="E109" s="49">
        <v>111.69325000000001</v>
      </c>
      <c r="F109" s="49">
        <v>127.482962</v>
      </c>
      <c r="G109" s="121">
        <v>119.35</v>
      </c>
      <c r="H109" s="49">
        <v>3.2510454545454501</v>
      </c>
      <c r="I109" s="49">
        <v>139.61904761904762</v>
      </c>
    </row>
    <row r="110" spans="1:9" x14ac:dyDescent="0.25">
      <c r="A110" s="46">
        <v>43040</v>
      </c>
      <c r="B110" s="50">
        <f t="shared" si="3"/>
        <v>2017</v>
      </c>
      <c r="C110" s="49">
        <v>105.40759300000001</v>
      </c>
      <c r="D110" s="49">
        <v>111.733338</v>
      </c>
      <c r="E110" s="49">
        <v>111.73352199999999</v>
      </c>
      <c r="F110" s="49">
        <v>127.23151799999999</v>
      </c>
      <c r="G110" s="121">
        <v>119.12</v>
      </c>
      <c r="H110" s="49">
        <v>3.2405238095238098</v>
      </c>
      <c r="I110" s="49">
        <v>138.8095238095238</v>
      </c>
    </row>
    <row r="111" spans="1:9" x14ac:dyDescent="0.25">
      <c r="A111" s="46">
        <v>43070</v>
      </c>
      <c r="B111" s="50">
        <f t="shared" si="3"/>
        <v>2017</v>
      </c>
      <c r="C111" s="49">
        <v>105.470868</v>
      </c>
      <c r="D111" s="49">
        <v>111.97458399999999</v>
      </c>
      <c r="E111" s="49">
        <v>112.010761</v>
      </c>
      <c r="F111" s="49">
        <v>127.431083</v>
      </c>
      <c r="G111" s="121">
        <v>119.27</v>
      </c>
      <c r="H111" s="49">
        <v>3.2461842105263199</v>
      </c>
      <c r="I111" s="49">
        <v>136.15</v>
      </c>
    </row>
    <row r="112" spans="1:9" x14ac:dyDescent="0.25">
      <c r="A112" s="46">
        <v>43101</v>
      </c>
      <c r="B112" s="50">
        <f t="shared" si="3"/>
        <v>2018</v>
      </c>
      <c r="C112" s="49">
        <v>105.740105</v>
      </c>
      <c r="D112" s="49">
        <v>111.428248</v>
      </c>
      <c r="E112" s="49">
        <v>112.13216799999999</v>
      </c>
      <c r="F112" s="49">
        <v>127.593452</v>
      </c>
      <c r="G112" s="121">
        <v>119.49</v>
      </c>
      <c r="H112" s="49">
        <v>3.2151666666666698</v>
      </c>
      <c r="I112" s="49">
        <v>121.95238095238095</v>
      </c>
    </row>
    <row r="113" spans="1:9" x14ac:dyDescent="0.25">
      <c r="A113" s="46">
        <v>43132</v>
      </c>
      <c r="B113" s="50">
        <f t="shared" si="3"/>
        <v>2018</v>
      </c>
      <c r="C113" s="49">
        <v>106.137559</v>
      </c>
      <c r="D113" s="49">
        <v>111.785895</v>
      </c>
      <c r="E113" s="49">
        <v>113.730013</v>
      </c>
      <c r="F113" s="49">
        <v>127.912717</v>
      </c>
      <c r="G113" s="121">
        <v>119.84</v>
      </c>
      <c r="H113" s="49">
        <v>3.2483749999999998</v>
      </c>
      <c r="I113" s="49">
        <v>132.10526315789474</v>
      </c>
    </row>
    <row r="114" spans="1:9" x14ac:dyDescent="0.25">
      <c r="A114" s="46">
        <v>43160</v>
      </c>
      <c r="B114" s="50">
        <f t="shared" si="3"/>
        <v>2018</v>
      </c>
      <c r="C114" s="49">
        <v>106.235179</v>
      </c>
      <c r="D114" s="49">
        <v>112.25058300000001</v>
      </c>
      <c r="E114" s="49">
        <v>113.924976</v>
      </c>
      <c r="F114" s="49">
        <v>128.535811</v>
      </c>
      <c r="G114" s="121">
        <v>120.43</v>
      </c>
      <c r="H114" s="49">
        <v>3.2519</v>
      </c>
      <c r="I114" s="49">
        <v>146.61904761904762</v>
      </c>
    </row>
    <row r="115" spans="1:9" x14ac:dyDescent="0.25">
      <c r="A115" s="46">
        <v>43191</v>
      </c>
      <c r="B115" s="50">
        <f t="shared" si="3"/>
        <v>2018</v>
      </c>
      <c r="C115" s="49">
        <v>106.140323</v>
      </c>
      <c r="D115" s="49">
        <v>111.725317</v>
      </c>
      <c r="E115" s="49">
        <v>114.60213299999999</v>
      </c>
      <c r="F115" s="49">
        <v>128.359623</v>
      </c>
      <c r="G115" s="121">
        <v>120.28</v>
      </c>
      <c r="H115" s="49">
        <v>3.2306249999999999</v>
      </c>
      <c r="I115" s="49">
        <v>145.23809523809524</v>
      </c>
    </row>
    <row r="116" spans="1:9" x14ac:dyDescent="0.25">
      <c r="A116" s="46">
        <v>43221</v>
      </c>
      <c r="B116" s="50">
        <f t="shared" si="3"/>
        <v>2018</v>
      </c>
      <c r="C116" s="49">
        <v>106.88285</v>
      </c>
      <c r="D116" s="49">
        <v>112.52389700000001</v>
      </c>
      <c r="E116" s="49">
        <v>114.770763</v>
      </c>
      <c r="F116" s="49">
        <v>128.38331199999999</v>
      </c>
      <c r="G116" s="121">
        <v>120.33</v>
      </c>
      <c r="H116" s="49">
        <v>3.2736136363636401</v>
      </c>
      <c r="I116" s="49">
        <v>157.59090909090909</v>
      </c>
    </row>
    <row r="117" spans="1:9" x14ac:dyDescent="0.25">
      <c r="A117" s="46">
        <v>43252</v>
      </c>
      <c r="B117" s="50">
        <f t="shared" si="3"/>
        <v>2018</v>
      </c>
      <c r="C117" s="49">
        <v>107.183083</v>
      </c>
      <c r="D117" s="49">
        <v>112.78710599999999</v>
      </c>
      <c r="E117" s="49">
        <v>114.897058</v>
      </c>
      <c r="F117" s="49">
        <v>128.81218699999999</v>
      </c>
      <c r="G117" s="121">
        <v>120.75</v>
      </c>
      <c r="H117" s="49">
        <v>3.27095</v>
      </c>
      <c r="I117" s="49">
        <v>163.33333333333334</v>
      </c>
    </row>
    <row r="118" spans="1:9" x14ac:dyDescent="0.25">
      <c r="A118" s="46">
        <v>43282</v>
      </c>
      <c r="B118" s="50">
        <f t="shared" si="3"/>
        <v>2018</v>
      </c>
      <c r="C118" s="49">
        <v>107.257386</v>
      </c>
      <c r="D118" s="49">
        <v>112.91650799999999</v>
      </c>
      <c r="E118" s="49">
        <v>115.015209</v>
      </c>
      <c r="F118" s="49">
        <v>129.305262</v>
      </c>
      <c r="G118" s="121">
        <v>121.23</v>
      </c>
      <c r="H118" s="49">
        <v>3.2765952380952399</v>
      </c>
      <c r="I118" s="49">
        <v>150.23809523809524</v>
      </c>
    </row>
    <row r="119" spans="1:9" x14ac:dyDescent="0.25">
      <c r="A119" s="46">
        <v>43313</v>
      </c>
      <c r="B119" s="50">
        <f t="shared" si="3"/>
        <v>2018</v>
      </c>
      <c r="C119" s="49">
        <v>107.398976</v>
      </c>
      <c r="D119" s="49">
        <v>113.00307100000001</v>
      </c>
      <c r="E119" s="49">
        <v>115.261911</v>
      </c>
      <c r="F119" s="49">
        <v>129.47564399999999</v>
      </c>
      <c r="G119" s="121">
        <v>121.43</v>
      </c>
      <c r="H119" s="49">
        <v>3.2880714285714299</v>
      </c>
      <c r="I119" s="49">
        <v>149.2608695652174</v>
      </c>
    </row>
    <row r="120" spans="1:9" x14ac:dyDescent="0.25">
      <c r="A120" s="46">
        <v>43344</v>
      </c>
      <c r="B120" s="50">
        <f t="shared" si="3"/>
        <v>2018</v>
      </c>
      <c r="C120" s="49">
        <v>108.07216699999999</v>
      </c>
      <c r="D120" s="49">
        <v>113.70443400000001</v>
      </c>
      <c r="E120" s="49">
        <v>115.499015</v>
      </c>
      <c r="F120" s="49">
        <v>129.72382500000001</v>
      </c>
      <c r="G120" s="121">
        <v>121.67</v>
      </c>
      <c r="H120" s="49">
        <v>3.3113250000000001</v>
      </c>
      <c r="I120" s="49">
        <v>139.88888888888889</v>
      </c>
    </row>
    <row r="121" spans="1:9" x14ac:dyDescent="0.25">
      <c r="A121" s="46">
        <v>43374</v>
      </c>
      <c r="B121" s="50">
        <f t="shared" si="3"/>
        <v>2018</v>
      </c>
      <c r="C121" s="49">
        <v>108.494936</v>
      </c>
      <c r="D121" s="49">
        <v>114.151697</v>
      </c>
      <c r="E121" s="49">
        <v>115.680983</v>
      </c>
      <c r="F121" s="49">
        <v>129.82978800000001</v>
      </c>
      <c r="G121" s="121">
        <v>121.82</v>
      </c>
      <c r="H121" s="49">
        <v>3.3339090909090898</v>
      </c>
      <c r="I121" s="49">
        <v>142.69565217391303</v>
      </c>
    </row>
    <row r="122" spans="1:9" x14ac:dyDescent="0.25">
      <c r="A122" s="46">
        <v>43405</v>
      </c>
      <c r="B122" s="50">
        <f t="shared" si="3"/>
        <v>2018</v>
      </c>
      <c r="C122" s="49">
        <v>109.0157116928</v>
      </c>
      <c r="D122" s="49">
        <v>115.332605</v>
      </c>
      <c r="E122" s="49">
        <v>115.781716</v>
      </c>
      <c r="F122" s="49">
        <v>129.98874900000001</v>
      </c>
      <c r="G122" s="121">
        <v>122.01</v>
      </c>
      <c r="H122" s="49">
        <v>3.3746749999999999</v>
      </c>
      <c r="I122" s="49">
        <v>156.9</v>
      </c>
    </row>
    <row r="123" spans="1:9" x14ac:dyDescent="0.25">
      <c r="A123" s="46">
        <v>43435</v>
      </c>
      <c r="B123" s="50">
        <f t="shared" si="3"/>
        <v>2018</v>
      </c>
      <c r="C123" s="49">
        <v>108.870514</v>
      </c>
      <c r="D123" s="49">
        <v>115.340603</v>
      </c>
      <c r="E123" s="49">
        <v>115.794792</v>
      </c>
      <c r="F123" s="49">
        <v>130.22503900000001</v>
      </c>
      <c r="G123" s="121">
        <v>122.24</v>
      </c>
      <c r="H123" s="49">
        <v>3.3640263157894701</v>
      </c>
      <c r="I123" s="49">
        <v>162.94736842105263</v>
      </c>
    </row>
    <row r="124" spans="1:9" x14ac:dyDescent="0.25">
      <c r="A124" s="46">
        <v>43466</v>
      </c>
      <c r="B124" s="50">
        <f t="shared" si="3"/>
        <v>2019</v>
      </c>
      <c r="C124" s="49">
        <v>108.514126</v>
      </c>
      <c r="D124" s="49">
        <v>114.911168</v>
      </c>
      <c r="E124" s="49">
        <v>115.70481700000001</v>
      </c>
      <c r="F124" s="49">
        <v>130.31011799999999</v>
      </c>
      <c r="G124" s="121">
        <v>122.31</v>
      </c>
      <c r="H124" s="49">
        <v>3.3438636363636398</v>
      </c>
      <c r="I124" s="49">
        <v>151.9047619047619</v>
      </c>
    </row>
    <row r="125" spans="1:9" x14ac:dyDescent="0.25">
      <c r="A125" s="46">
        <v>43497</v>
      </c>
      <c r="B125" s="50">
        <f t="shared" si="3"/>
        <v>2019</v>
      </c>
      <c r="C125" s="49">
        <v>108.02327099999999</v>
      </c>
      <c r="D125" s="49">
        <v>114.371432</v>
      </c>
      <c r="E125" s="49">
        <v>115.453965</v>
      </c>
      <c r="F125" s="49">
        <v>130.475301</v>
      </c>
      <c r="G125" s="121">
        <v>122.49</v>
      </c>
      <c r="H125" s="49">
        <v>3.321475</v>
      </c>
      <c r="I125" s="49">
        <v>139.31578947368422</v>
      </c>
    </row>
    <row r="126" spans="1:9" x14ac:dyDescent="0.25">
      <c r="A126" s="46">
        <v>43525</v>
      </c>
      <c r="B126" s="50">
        <f t="shared" si="3"/>
        <v>2019</v>
      </c>
      <c r="C126" s="49">
        <v>108.053674</v>
      </c>
      <c r="D126" s="49">
        <v>113.64427999999999</v>
      </c>
      <c r="E126" s="49">
        <v>115.36864199999999</v>
      </c>
      <c r="F126" s="49">
        <v>131.424577</v>
      </c>
      <c r="G126" s="121">
        <v>123.31</v>
      </c>
      <c r="H126" s="49">
        <v>3.3046904761904798</v>
      </c>
      <c r="I126" s="49">
        <v>135.66666666666666</v>
      </c>
    </row>
    <row r="127" spans="1:9" x14ac:dyDescent="0.25">
      <c r="A127" s="46">
        <v>43556</v>
      </c>
      <c r="B127" s="50">
        <f t="shared" si="3"/>
        <v>2019</v>
      </c>
      <c r="C127" s="49">
        <v>108.345848</v>
      </c>
      <c r="D127" s="49">
        <v>113.616013</v>
      </c>
      <c r="E127" s="49">
        <v>115.259677</v>
      </c>
      <c r="F127" s="49">
        <v>131.69</v>
      </c>
      <c r="G127" s="121">
        <v>123.59</v>
      </c>
      <c r="H127" s="49">
        <v>3.3038249999999998</v>
      </c>
      <c r="I127" s="49">
        <v>122.42857142857143</v>
      </c>
    </row>
    <row r="128" spans="1:9" x14ac:dyDescent="0.25">
      <c r="A128" s="46">
        <v>43586</v>
      </c>
      <c r="B128" s="50">
        <f t="shared" si="3"/>
        <v>2019</v>
      </c>
      <c r="C128" s="49">
        <v>108.544932</v>
      </c>
      <c r="D128" s="49">
        <v>114.253834</v>
      </c>
      <c r="E128" s="49">
        <v>115.330536</v>
      </c>
      <c r="F128" s="49">
        <v>131.88192100000001</v>
      </c>
      <c r="G128" s="121">
        <v>123.69</v>
      </c>
      <c r="H128" s="49">
        <v>3.33236363636364</v>
      </c>
      <c r="I128" s="49">
        <v>135.45454545454547</v>
      </c>
    </row>
    <row r="129" spans="1:11" x14ac:dyDescent="0.25">
      <c r="A129" s="46">
        <v>43617</v>
      </c>
      <c r="B129" s="50">
        <f t="shared" si="3"/>
        <v>2019</v>
      </c>
      <c r="C129" s="49">
        <v>108.45299900000001</v>
      </c>
      <c r="D129" s="49">
        <v>114.857812</v>
      </c>
      <c r="E129" s="49">
        <v>115.364436</v>
      </c>
      <c r="F129" s="49">
        <v>131.76814400000001</v>
      </c>
      <c r="G129" s="121">
        <v>123.61</v>
      </c>
      <c r="H129" s="49">
        <v>3.32565</v>
      </c>
      <c r="I129" s="49">
        <v>129.15</v>
      </c>
    </row>
    <row r="130" spans="1:11" x14ac:dyDescent="0.25">
      <c r="A130" s="46">
        <v>43647</v>
      </c>
      <c r="B130" s="50">
        <f t="shared" si="3"/>
        <v>2019</v>
      </c>
      <c r="C130" s="49">
        <v>108.49285999999999</v>
      </c>
      <c r="D130" s="49">
        <v>113.650797</v>
      </c>
      <c r="E130" s="49">
        <v>115.228441</v>
      </c>
      <c r="F130" s="49">
        <v>132.03607700000001</v>
      </c>
      <c r="G130" s="121">
        <v>123.9</v>
      </c>
      <c r="H130" s="49">
        <v>3.29021428571428</v>
      </c>
      <c r="I130" s="49">
        <v>115.81818181818181</v>
      </c>
    </row>
    <row r="131" spans="1:11" x14ac:dyDescent="0.25">
      <c r="A131" s="46">
        <v>43678</v>
      </c>
      <c r="B131" s="50">
        <f t="shared" si="3"/>
        <v>2019</v>
      </c>
      <c r="C131" s="49">
        <v>108.832239</v>
      </c>
      <c r="D131" s="49">
        <v>115.501835</v>
      </c>
      <c r="E131" s="49">
        <v>116.05090199999999</v>
      </c>
      <c r="F131" s="49">
        <v>132.116589</v>
      </c>
      <c r="G131" s="121">
        <v>124.04</v>
      </c>
      <c r="H131" s="49">
        <v>3.3775599999999999</v>
      </c>
      <c r="I131" s="49">
        <v>127.09090909090909</v>
      </c>
    </row>
    <row r="132" spans="1:11" x14ac:dyDescent="0.25">
      <c r="A132" s="46">
        <v>43709</v>
      </c>
      <c r="B132" s="50">
        <f t="shared" ref="B132:B135" si="4">YEAR(A132)</f>
        <v>2019</v>
      </c>
      <c r="C132" s="49">
        <v>108.816647</v>
      </c>
      <c r="D132" s="49">
        <v>115.640586</v>
      </c>
      <c r="E132" s="49">
        <v>115.668575</v>
      </c>
      <c r="F132" s="49">
        <v>132.125022</v>
      </c>
      <c r="G132" s="121">
        <v>124.09</v>
      </c>
      <c r="H132" s="49">
        <v>3.3573571428571398</v>
      </c>
      <c r="I132" s="49">
        <v>116.428571428571</v>
      </c>
    </row>
    <row r="133" spans="1:11" x14ac:dyDescent="0.25">
      <c r="A133" s="46">
        <v>43739</v>
      </c>
      <c r="B133" s="50">
        <f t="shared" si="4"/>
        <v>2019</v>
      </c>
      <c r="C133" s="49">
        <v>108.94876600000001</v>
      </c>
      <c r="D133" s="49">
        <v>115.794372</v>
      </c>
      <c r="E133" s="49">
        <v>115.55823100000001</v>
      </c>
      <c r="F133" s="121">
        <v>132.27131800000001</v>
      </c>
      <c r="G133" s="121">
        <v>124.26</v>
      </c>
      <c r="H133" s="49">
        <v>3.36</v>
      </c>
      <c r="I133" s="49">
        <v>126.913043478261</v>
      </c>
    </row>
    <row r="134" spans="1:11" x14ac:dyDescent="0.25">
      <c r="A134" s="46">
        <v>43770</v>
      </c>
      <c r="B134" s="50">
        <f t="shared" si="4"/>
        <v>2019</v>
      </c>
      <c r="C134" s="49">
        <v>108.792462</v>
      </c>
      <c r="D134" s="49">
        <v>115.73463700000001</v>
      </c>
      <c r="E134" s="49">
        <v>114.983886</v>
      </c>
      <c r="F134" s="121">
        <v>132.41537500000001</v>
      </c>
      <c r="G134" s="121">
        <v>124.39</v>
      </c>
      <c r="H134" s="49">
        <v>3.3719999999999999</v>
      </c>
      <c r="I134" s="49">
        <v>126.761904761905</v>
      </c>
    </row>
    <row r="135" spans="1:11" x14ac:dyDescent="0.25">
      <c r="A135" s="46">
        <v>43800</v>
      </c>
      <c r="B135" s="50">
        <f t="shared" si="4"/>
        <v>2019</v>
      </c>
      <c r="C135" s="49">
        <v>108.744652</v>
      </c>
      <c r="D135" s="49">
        <v>116.151459</v>
      </c>
      <c r="E135" s="49">
        <v>115.087805</v>
      </c>
      <c r="F135" s="121">
        <v>132.699434</v>
      </c>
      <c r="G135" s="121">
        <v>124.53</v>
      </c>
      <c r="H135" s="49">
        <v>3.355</v>
      </c>
      <c r="I135" s="49">
        <v>115.90909090909101</v>
      </c>
    </row>
    <row r="136" spans="1:11" x14ac:dyDescent="0.25">
      <c r="A136" s="46"/>
      <c r="B136" s="50"/>
      <c r="C136" s="49"/>
      <c r="D136" s="49"/>
      <c r="E136" s="49"/>
      <c r="F136" s="121"/>
      <c r="G136" s="121"/>
      <c r="H136" s="49"/>
      <c r="I136" s="49"/>
      <c r="K136" s="34"/>
    </row>
    <row r="137" spans="1:11" x14ac:dyDescent="0.25">
      <c r="A137" s="46"/>
      <c r="B137" s="50"/>
      <c r="C137" s="49"/>
      <c r="D137" s="49"/>
      <c r="E137" s="49"/>
      <c r="F137" s="121"/>
      <c r="G137" s="121"/>
      <c r="H137" s="49"/>
      <c r="I137" s="49"/>
    </row>
    <row r="138" spans="1:11" x14ac:dyDescent="0.25">
      <c r="A138" s="46"/>
      <c r="B138" s="50"/>
      <c r="C138" s="49"/>
      <c r="D138" s="49"/>
      <c r="E138" s="49"/>
      <c r="F138" s="121"/>
      <c r="G138" s="121"/>
      <c r="H138" s="49"/>
      <c r="I138" s="49"/>
    </row>
    <row r="139" spans="1:11" x14ac:dyDescent="0.25">
      <c r="A139" s="46"/>
      <c r="B139" s="49"/>
      <c r="C139" s="49"/>
      <c r="D139" s="49"/>
      <c r="E139" s="49"/>
      <c r="F139" s="49"/>
      <c r="G139" s="49"/>
      <c r="H139" s="49"/>
      <c r="I139" s="49"/>
    </row>
    <row r="140" spans="1:11" x14ac:dyDescent="0.25">
      <c r="A140" s="46"/>
      <c r="B140" s="49"/>
      <c r="C140" s="49"/>
      <c r="D140" s="49"/>
      <c r="E140" s="49"/>
      <c r="F140" s="49"/>
      <c r="G140" s="49"/>
      <c r="H140" s="49"/>
      <c r="I140" s="49"/>
    </row>
    <row r="141" spans="1:11" x14ac:dyDescent="0.25">
      <c r="A141" s="46"/>
      <c r="B141" s="49"/>
      <c r="C141" s="49"/>
      <c r="D141" s="49"/>
      <c r="E141" s="49"/>
      <c r="F141" s="49"/>
      <c r="G141" s="49"/>
      <c r="H141" s="49"/>
      <c r="I141" s="49"/>
    </row>
    <row r="142" spans="1:11" x14ac:dyDescent="0.25">
      <c r="A142" s="46"/>
      <c r="B142" s="49"/>
      <c r="C142" s="49"/>
      <c r="D142" s="49"/>
      <c r="E142" s="49"/>
      <c r="F142" s="49"/>
      <c r="G142" s="49"/>
      <c r="H142" s="49"/>
      <c r="I142" s="49"/>
    </row>
    <row r="143" spans="1:11" x14ac:dyDescent="0.25">
      <c r="A143" s="46"/>
      <c r="B143" s="49"/>
      <c r="C143" s="49"/>
      <c r="D143" s="49"/>
      <c r="E143" s="49"/>
      <c r="F143" s="49"/>
      <c r="G143" s="49"/>
      <c r="H143" s="49"/>
      <c r="I143" s="49"/>
    </row>
    <row r="144" spans="1:11" x14ac:dyDescent="0.25">
      <c r="A144" s="46"/>
      <c r="B144" s="49"/>
      <c r="C144" s="49"/>
      <c r="D144" s="49"/>
      <c r="E144" s="49"/>
      <c r="F144" s="49"/>
      <c r="G144" s="49"/>
      <c r="H144" s="49"/>
      <c r="I144" s="49"/>
    </row>
    <row r="145" spans="1:10" x14ac:dyDescent="0.25">
      <c r="A145" s="46"/>
      <c r="B145" s="49"/>
      <c r="C145" s="49"/>
      <c r="D145" s="49"/>
      <c r="E145" s="49"/>
      <c r="F145" s="49"/>
      <c r="G145" s="49"/>
      <c r="H145" s="49"/>
      <c r="I145" s="49"/>
      <c r="J145" s="41"/>
    </row>
    <row r="146" spans="1:10" x14ac:dyDescent="0.25">
      <c r="A146" s="46"/>
      <c r="B146" s="49"/>
      <c r="C146" s="49"/>
      <c r="D146" s="49"/>
      <c r="E146" s="49"/>
      <c r="F146" s="49"/>
      <c r="G146" s="49"/>
      <c r="H146" s="49"/>
      <c r="I146" s="49"/>
    </row>
    <row r="147" spans="1:10" x14ac:dyDescent="0.25">
      <c r="A147" s="46"/>
      <c r="B147" s="49"/>
      <c r="C147" s="49"/>
      <c r="D147" s="49"/>
      <c r="E147" s="49"/>
      <c r="F147" s="49"/>
      <c r="G147" s="49"/>
      <c r="H147" s="49"/>
      <c r="I147" s="49"/>
    </row>
    <row r="148" spans="1:10" x14ac:dyDescent="0.25">
      <c r="A148" s="46"/>
      <c r="B148" s="49"/>
      <c r="C148" s="49"/>
      <c r="D148" s="49"/>
      <c r="E148" s="49"/>
      <c r="F148" s="49"/>
      <c r="G148" s="49"/>
      <c r="H148" s="49"/>
      <c r="I148" s="49"/>
    </row>
    <row r="149" spans="1:10" x14ac:dyDescent="0.25">
      <c r="A149" s="46"/>
      <c r="B149" s="49"/>
      <c r="C149" s="49"/>
      <c r="D149" s="49"/>
      <c r="E149" s="49"/>
      <c r="F149" s="49"/>
      <c r="G149" s="49"/>
      <c r="H149" s="49"/>
      <c r="I149" s="49"/>
    </row>
    <row r="150" spans="1:10" ht="12" customHeight="1" x14ac:dyDescent="0.25">
      <c r="A150" s="46"/>
      <c r="B150" s="49"/>
      <c r="C150" s="49"/>
      <c r="D150" s="49"/>
      <c r="E150" s="49"/>
      <c r="F150" s="49"/>
      <c r="G150" s="49"/>
      <c r="H150" s="49"/>
      <c r="I150" s="49"/>
    </row>
    <row r="151" spans="1:10" x14ac:dyDescent="0.25">
      <c r="A151" s="46"/>
      <c r="B151" s="49"/>
      <c r="C151" s="49"/>
      <c r="D151" s="49"/>
      <c r="E151" s="49"/>
      <c r="F151" s="49"/>
      <c r="G151" s="49"/>
      <c r="H151" s="49"/>
      <c r="I151" s="49"/>
    </row>
    <row r="152" spans="1:10" x14ac:dyDescent="0.25">
      <c r="A152" s="46"/>
      <c r="B152" s="49"/>
      <c r="C152" s="49"/>
      <c r="D152" s="49"/>
      <c r="E152" s="49"/>
      <c r="F152" s="49"/>
      <c r="G152" s="49"/>
      <c r="H152" s="49"/>
      <c r="I152" s="49"/>
    </row>
    <row r="153" spans="1:10" x14ac:dyDescent="0.25">
      <c r="A153" s="46"/>
      <c r="B153" s="49"/>
      <c r="C153" s="49"/>
      <c r="D153" s="49"/>
      <c r="E153" s="49"/>
      <c r="F153" s="49"/>
      <c r="G153" s="49"/>
      <c r="H153" s="49"/>
      <c r="I153" s="49"/>
    </row>
    <row r="157" spans="1:10" x14ac:dyDescent="0.25">
      <c r="J157" s="148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</sheetData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05CD0B2F86B945AA2F29E42A700BF0" ma:contentTypeVersion="6" ma:contentTypeDescription="Crear nuevo documento." ma:contentTypeScope="" ma:versionID="ad3c9400f21de17be2cc1d44afd7bc78">
  <xsd:schema xmlns:xsd="http://www.w3.org/2001/XMLSchema" xmlns:xs="http://www.w3.org/2001/XMLSchema" xmlns:p="http://schemas.microsoft.com/office/2006/metadata/properties" xmlns:ns2="2d0499ee-ae3e-4a69-b434-02df2e04bf11" targetNamespace="http://schemas.microsoft.com/office/2006/metadata/properties" ma:root="true" ma:fieldsID="6272789327c589f3649104e886247e57" ns2:_="">
    <xsd:import namespace="2d0499ee-ae3e-4a69-b434-02df2e04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99ee-ae3e-4a69-b434-02df2e04b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8F612-406A-40F2-86A2-34146BD34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E7F2F0-9AE1-4432-8494-55365F23D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99ee-ae3e-4a69-b434-02df2e04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E5CE8-D7A1-486D-8D17-D96DB642E07B}">
  <ds:schemaRefs>
    <ds:schemaRef ds:uri="http://schemas.openxmlformats.org/package/2006/metadata/core-properties"/>
    <ds:schemaRef ds:uri="2d0499ee-ae3e-4a69-b434-02df2e04bf1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Índice</vt:lpstr>
      <vt:lpstr>Resultados &gt;&gt;&gt;</vt:lpstr>
      <vt:lpstr>Factor X</vt:lpstr>
      <vt:lpstr>Cálculo &gt;&gt;&gt;</vt:lpstr>
      <vt:lpstr>Supuestos</vt:lpstr>
      <vt:lpstr>Ingresos (APM)</vt:lpstr>
      <vt:lpstr>Gastos (APM)</vt:lpstr>
      <vt:lpstr>Cantidades de capital</vt:lpstr>
      <vt:lpstr>Precios de capital</vt:lpstr>
      <vt:lpstr>WACC</vt:lpstr>
      <vt:lpstr>Economía</vt:lpstr>
      <vt:lpstr>Insumos APM &gt;&gt;&gt;</vt:lpstr>
      <vt:lpstr>Costo de deuda</vt:lpstr>
      <vt:lpstr>Opex</vt:lpstr>
      <vt:lpstr>Capex</vt:lpstr>
      <vt:lpstr>Depreciación</vt:lpstr>
      <vt:lpstr>Ingresos</vt:lpstr>
      <vt:lpstr>Insumos macro &gt;&gt;&gt;</vt:lpstr>
      <vt:lpstr>Macro anual</vt:lpstr>
      <vt:lpstr>Macro mensual</vt:lpstr>
      <vt:lpstr>IR</vt:lpstr>
      <vt:lpstr>mil</vt:lpstr>
      <vt:lpstr>no_cero</vt:lpstr>
      <vt:lpstr>Índice!Print_Area</vt:lpstr>
      <vt:lpstr>'Macro mensual'!Print_Area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Ezcurra Robledo Rodrigo</dc:creator>
  <cp:lastModifiedBy>Raymond Guillen Quiroz</cp:lastModifiedBy>
  <cp:lastPrinted>2020-12-18T19:59:00Z</cp:lastPrinted>
  <dcterms:created xsi:type="dcterms:W3CDTF">2019-11-18T16:06:41Z</dcterms:created>
  <dcterms:modified xsi:type="dcterms:W3CDTF">2021-01-29T00:19:07Z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0x0101002605CD0B2F86B945AA2F29E42A700BF0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2021-01-29T00:18:56Z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17455713-be66-4bea-bc6b-c95e70f3eec7</vt:lpwstr>
  </property>
  <property fmtid="{D5CDD505-2E9C-101B-9397-08002B2CF9AE}" pid="9" name="MSIP_Label_71bba39d-4745-4e9d-97db-0c1927b54242_ContentBits">
    <vt:lpwstr>2</vt:lpwstr>
  </property>
</Properties>
</file>