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G\Abel\2021 Corpac\05 Productos\Aeronav\03 Sexto entregable\000 Para enviar a Ositran\02 Excel tarifas y excel wacc\"/>
    </mc:Choice>
  </mc:AlternateContent>
  <xr:revisionPtr revIDLastSave="0" documentId="13_ncr:1_{3D4DD79B-4C39-468B-8185-AFFCB98441EA}" xr6:coauthVersionLast="47" xr6:coauthVersionMax="47" xr10:uidLastSave="{00000000-0000-0000-0000-000000000000}"/>
  <bookViews>
    <workbookView xWindow="-120" yWindow="-120" windowWidth="20730" windowHeight="11160" tabRatio="804" firstSheet="8" activeTab="12" xr2:uid="{262A5A95-66AC-4FCA-A83F-7C5C67C99DF3}"/>
  </bookViews>
  <sheets>
    <sheet name="Indice" sheetId="33" r:id="rId1"/>
    <sheet name="SupuestoTipoDeCambioReal" sheetId="58" r:id="rId2"/>
    <sheet name="RiesgoPais" sheetId="41" r:id="rId3"/>
    <sheet name="FuenteRiesgoPais" sheetId="60" r:id="rId4"/>
    <sheet name="BetaBloombergENAV" sheetId="59" r:id="rId5"/>
    <sheet name="FuenteTasaLibreDeRiesgo" sheetId="35" r:id="rId6"/>
    <sheet name="TasaLibreDeRiesgo" sheetId="32" r:id="rId7"/>
    <sheet name="FuenteDE B. ESF Presup (P)" sheetId="52" r:id="rId8"/>
    <sheet name="DataEstructuraFinanciera" sheetId="53" r:id="rId9"/>
    <sheet name="FuenteReporteTasaActiva BCRP" sheetId="57" r:id="rId10"/>
    <sheet name="CostoDeDeuda" sheetId="56" r:id="rId11"/>
    <sheet name="FuenteRendimientoMercado" sheetId="38" r:id="rId12"/>
    <sheet name="RendimientoDelMercado" sheetId="37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123Graph_A" localSheetId="3" hidden="1">#REF!</definedName>
    <definedName name="__123Graph_A" hidden="1">#REF!</definedName>
    <definedName name="__123Graph_AGRAF" localSheetId="3" hidden="1">#REF!</definedName>
    <definedName name="__123Graph_AGRAF" hidden="1">#REF!</definedName>
    <definedName name="__123Graph_B" localSheetId="7" hidden="1">#REF!</definedName>
    <definedName name="__123Graph_B" localSheetId="3" hidden="1">#REF!</definedName>
    <definedName name="__123Graph_B" hidden="1">#REF!</definedName>
    <definedName name="__123Graph_BGRAF" hidden="1">#REF!</definedName>
    <definedName name="__123Graph_C" hidden="1">#REF!</definedName>
    <definedName name="__123Graph_CGRAF" hidden="1">#REF!</definedName>
    <definedName name="__123Graph_D" hidden="1">#REF!</definedName>
    <definedName name="__123Graph_DGRAF" hidden="1">#REF!</definedName>
    <definedName name="__123Graph_E" hidden="1">#REF!</definedName>
    <definedName name="__123Graph_EGRAF" hidden="1">#REF!</definedName>
    <definedName name="__123Graph_F" hidden="1">#REF!</definedName>
    <definedName name="__123Graph_FGRAF" hidden="1">#REF!</definedName>
    <definedName name="__123Graph_X" hidden="1">#REF!</definedName>
    <definedName name="__123Graph_XGRAF" hidden="1">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Key1" localSheetId="7" hidden="1">#REF!</definedName>
    <definedName name="_Key1" hidden="1">[1]INGUTI!$A$18:$A$30</definedName>
    <definedName name="_Order1" hidden="1">255</definedName>
    <definedName name="_Order2" hidden="1">255</definedName>
    <definedName name="_Sort" localSheetId="7" hidden="1">#REF!</definedName>
    <definedName name="_Sort" hidden="1">[1]INGUTI!$A$18:$M$30</definedName>
    <definedName name="ado" hidden="1">{"'transportes'!$A$3:$K$28"}</definedName>
    <definedName name="aeropuertos">#REF!</definedName>
    <definedName name="AHORRO" hidden="1">{"'transportes'!$A$3:$K$28"}</definedName>
    <definedName name="_xlnm.Print_Area" localSheetId="3">FuenteRiesgoPais!$B$2:$N$75</definedName>
    <definedName name="BLPH1" localSheetId="7" hidden="1">#REF!</definedName>
    <definedName name="BLPH1" localSheetId="3" hidden="1">#REF!</definedName>
    <definedName name="BLPH1" hidden="1">#REF!</definedName>
    <definedName name="BLPH10" localSheetId="7" hidden="1">#REF!</definedName>
    <definedName name="BLPH10" localSheetId="3" hidden="1">#REF!</definedName>
    <definedName name="BLPH10" hidden="1">#REF!</definedName>
    <definedName name="BLPH11" localSheetId="7" hidden="1">#REF!</definedName>
    <definedName name="BLPH11" localSheetId="3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8" hidden="1">#REF!</definedName>
    <definedName name="BLPH9" hidden="1">#REF!</definedName>
    <definedName name="BLPI1" hidden="1">#REF!</definedName>
    <definedName name="BLPI2" hidden="1">#REF!</definedName>
    <definedName name="BLPI3" hidden="1">#REF!</definedName>
    <definedName name="BLPI4" hidden="1">#REF!</definedName>
    <definedName name="BLPI5" hidden="1">[2]Sheet2!#REF!</definedName>
    <definedName name="BLPI6" hidden="1">[2]Sheet2!#REF!</definedName>
    <definedName name="BLPI7" hidden="1">[3]Sheet2!$G$4</definedName>
    <definedName name="BLPI8" hidden="1">[3]Sheet2!$H$4</definedName>
    <definedName name="CBWorkbookPriority" hidden="1">-287022573</definedName>
    <definedName name="cc" hidden="1">{#N/A,"Norpal/Enciplan",FALSE,"RESUMO";#N/A,"LOT",FALSE,"RESUMO";#N/A,"Pessimista",FALSE,"RESUMO"}</definedName>
    <definedName name="edff" hidden="1">#REF!</definedName>
    <definedName name="EMBIGPERU2014" hidden="1">#REF!</definedName>
    <definedName name="er" hidden="1">#REF!</definedName>
    <definedName name="Fee">[4]TUUA!$F$63</definedName>
    <definedName name="ff" hidden="1">{"'transportes'!$A$3:$K$28"}</definedName>
    <definedName name="HTML_CodePage" hidden="1">1252</definedName>
    <definedName name="HTML_Control" localSheetId="7" hidden="1">{"'Sheet1'!$A$1:$O$40"}</definedName>
    <definedName name="HTML_Control" localSheetId="11" hidden="1">{"'Sheet1'!$A$1:$G$85"}</definedName>
    <definedName name="HTML_Control" localSheetId="3" hidden="1">{"'C-46.WK1'!$A$6:$J$21"}</definedName>
    <definedName name="HTML_Control" hidden="1">{"'Sheet1'!$A$1:$G$85"}</definedName>
    <definedName name="HTML_Description" hidden="1">""</definedName>
    <definedName name="HTML_Email" hidden="1">""</definedName>
    <definedName name="HTML_Header" localSheetId="3" hidden="1">""</definedName>
    <definedName name="HTML_Header" hidden="1">"Sheet1"</definedName>
    <definedName name="HTML_LastUpdate" localSheetId="7" hidden="1">"2/5/99"</definedName>
    <definedName name="HTML_LastUpdate" localSheetId="3" hidden="1">""</definedName>
    <definedName name="HTML_LastUpdate" hidden="1">"2/24/99"</definedName>
    <definedName name="HTML_LineAfter" localSheetId="3" hidden="1">FALSE</definedName>
    <definedName name="HTML_LineAfter" hidden="1">TRUE</definedName>
    <definedName name="HTML_LineBefore" localSheetId="3" hidden="1">FALSE</definedName>
    <definedName name="HTML_LineBefore" hidden="1">TRUE</definedName>
    <definedName name="HTML_Name" localSheetId="3" hidden="1">""</definedName>
    <definedName name="HTML_Name" hidden="1">"Aswath Damodaran"</definedName>
    <definedName name="HTML_OBDlg2" hidden="1">TRUE</definedName>
    <definedName name="HTML_OBDlg4" hidden="1">TRUE</definedName>
    <definedName name="HTML_OS" localSheetId="3" hidden="1">0</definedName>
    <definedName name="HTML_OS" hidden="1">1</definedName>
    <definedName name="HTML_PathFile" localSheetId="7" hidden="1">"C:\Mis documentos\ue.trans.htm"</definedName>
    <definedName name="HTML_PathFile" hidden="1">"F:\WEB\JULIO\c46.htm"</definedName>
    <definedName name="HTML_PathFileMac" localSheetId="7" hidden="1">"Macintosh HD:HomePageStuff:pc:datasets:implprem.html"</definedName>
    <definedName name="HTML_PathFileMac" hidden="1">"Macintosh HD:HomePageStuff:New_Home_Page:datafile:histret.html"</definedName>
    <definedName name="HTML_Title" localSheetId="7" hidden="1">"S&amp;P Implied Equity Premiums"</definedName>
    <definedName name="HTML_Title" localSheetId="3" hidden="1">""</definedName>
    <definedName name="HTML_Title" hidden="1">"Historical Returns on Stocks, Bonds and Bills"</definedName>
    <definedName name="HTML1_1" localSheetId="7" hidden="1">"[RiskPremiumUS]Sheet1!$A$1:$M$38"</definedName>
    <definedName name="HTML1_1" hidden="1">"[ReturnsHistorical]Sheet1!$A$1:$D$77"</definedName>
    <definedName name="HTML1_10" hidden="1">""</definedName>
    <definedName name="HTML1_11" hidden="1">1</definedName>
    <definedName name="HTML1_12" localSheetId="7" hidden="1">"Zip 100:New_Home_Page:datafile:implpr.html"</definedName>
    <definedName name="HTML1_12" hidden="1">"Zip 100:New_Home_Page:datafile:histret.html"</definedName>
    <definedName name="HTML1_2" hidden="1">1</definedName>
    <definedName name="HTML1_3" localSheetId="7" hidden="1">"RiskPremiumUS"</definedName>
    <definedName name="HTML1_3" hidden="1">"ReturnsHistorical"</definedName>
    <definedName name="HTML1_4" localSheetId="7" hidden="1">"Implied Risk Premiums for US"</definedName>
    <definedName name="HTML1_4" hidden="1">"Historical Returns on Stocks, Bonds and Bills"</definedName>
    <definedName name="HTML1_5" localSheetId="7" hidden="1">""</definedName>
    <definedName name="HTML1_5" hidden="1">"Ibbotson Data"</definedName>
    <definedName name="HTML1_6" hidden="1">-4146</definedName>
    <definedName name="HTML1_7" hidden="1">-4146</definedName>
    <definedName name="HTML1_8" localSheetId="7" hidden="1">"3/19/97"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localSheetId="7" hidden="1">1</definedName>
    <definedName name="HTMLCount" hidden="1">2</definedName>
    <definedName name="IGV">[4]TUUA!$G$63</definedName>
    <definedName name="IQ_ADDIN" hidden="1">"AUTO"</definedName>
    <definedName name="IQ_CH" hidden="1">110000</definedName>
    <definedName name="IQ_CONTRACTS_OTHER_COMMODITIES_EQUITIES._FDIC" hidden="1">"c6522"</definedName>
    <definedName name="IQ_CQ" hidden="1">5000</definedName>
    <definedName name="IQ_CY" hidden="1">10000</definedName>
    <definedName name="IQ_FH" hidden="1">100000</definedName>
    <definedName name="IQ_FOREIGN_BRANCHES_U.S._BANKS_LOANS_FDIC" hidden="1">"c6438"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MONTH" hidden="1">15000</definedName>
    <definedName name="IQ_NAMES_REVISION_DATE_" hidden="1">40210.5739814815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Mutua" hidden="1">{"'transportes'!$A$3:$K$28"}</definedName>
    <definedName name="no" hidden="1">{"'Sheet1'!$A$1:$O$40"}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MultipleCPUSupportEnabled" hidden="1">TRUE</definedName>
    <definedName name="solver_adj" hidden="1">#REF!</definedName>
    <definedName name="solver_lin" hidden="1">0</definedName>
    <definedName name="solver_num" hidden="1">2</definedName>
    <definedName name="solver_opt" hidden="1">#REF!</definedName>
    <definedName name="solver_rel1" hidden="1">3</definedName>
    <definedName name="solver_rel2" hidden="1">1</definedName>
    <definedName name="solver_rhs1" hidden="1">9.11</definedName>
    <definedName name="solver_rhs2" hidden="1">9.12</definedName>
    <definedName name="solver_tmp" hidden="1">9.12</definedName>
    <definedName name="solver_typ" hidden="1">3</definedName>
    <definedName name="solver_val" hidden="1">32.425</definedName>
    <definedName name="t" hidden="1">{#N/A,"Norpal/Enciplan",FALSE,"RESUMO";#N/A,"LOT",FALSE,"RESUMO";#N/A,"Pessimista",FALSE,"RESUMO"}</definedName>
    <definedName name="Tc">[4]TUUA!$C$10</definedName>
    <definedName name="wrn.Cenários." hidden="1">{#N/A,"Norpal/Enciplan",FALSE,"RESUMO";#N/A,"LOT",FALSE,"RESUMO";#N/A,"Pessimista",FALSE,"RESUMO"}</definedName>
    <definedName name="Z_19249254_A75D_4B48_B3A0_5E1C96C2F738_.wvu.PrintArea" hidden="1">#REF!</definedName>
    <definedName name="Z_6719458D_601D_447B_BE41_98768769587C_.wvu.PrintArea" hidden="1">#REF!</definedName>
    <definedName name="Z_82BEA2AF_56BA_4CBB_A5CE_122301B1F4AC_.wvu.PrintArea" hidden="1">#REF!</definedName>
    <definedName name="Z_9A792388_A7C0_4857_86E5_5A1294D6E337_.wvu.PrintArea" hidden="1">#REF!</definedName>
    <definedName name="Z_9C590AB9_0A5E_488B_8CBE_313BDD27B1E8_.wvu.PrintArea" hidden="1">#REF!</definedName>
    <definedName name="Z_D34D34F5_EB7A_4CD0_BA96_F3C59F96F8E9_.wvu.PrintArea" hidden="1">#REF!</definedName>
    <definedName name="Z_E752B9D8_CCD7_4A79_9F4F_96CB25802E42_.wvu.PrintArea" hidden="1">#REF!</definedName>
    <definedName name="Z_F7D9A5CD_8D6C_4415_9C30_BDA3D52F0FD1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59" l="1"/>
  <c r="F25" i="33"/>
  <c r="F26" i="33"/>
  <c r="F13" i="33"/>
  <c r="F12" i="33"/>
  <c r="L14" i="58"/>
  <c r="H14" i="58"/>
  <c r="I14" i="58"/>
  <c r="J14" i="58"/>
  <c r="K14" i="58"/>
  <c r="G14" i="58"/>
  <c r="L17" i="58"/>
  <c r="L16" i="58" l="1"/>
  <c r="Z19" i="52" l="1"/>
  <c r="AA19" i="52"/>
  <c r="Y19" i="52"/>
  <c r="G9" i="58"/>
  <c r="H9" i="58"/>
  <c r="I9" i="58"/>
  <c r="J9" i="58"/>
  <c r="K9" i="58"/>
  <c r="C4" i="41" l="1"/>
  <c r="G33" i="41" l="1"/>
  <c r="G28" i="41"/>
  <c r="G29" i="41"/>
  <c r="G30" i="41"/>
  <c r="G31" i="41"/>
  <c r="G32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15" i="41"/>
  <c r="G14" i="41"/>
  <c r="G13" i="41"/>
  <c r="G12" i="41"/>
  <c r="G11" i="41"/>
  <c r="G10" i="41"/>
  <c r="G9" i="41"/>
  <c r="G8" i="41"/>
  <c r="G7" i="41"/>
  <c r="G6" i="41"/>
  <c r="G5" i="41"/>
  <c r="G4" i="41"/>
  <c r="F17" i="33" l="1"/>
  <c r="C9" i="35"/>
  <c r="K12" i="58" l="1"/>
  <c r="J12" i="58"/>
  <c r="I12" i="58"/>
  <c r="J13" i="58" s="1"/>
  <c r="H12" i="58"/>
  <c r="G12" i="58"/>
  <c r="G13" i="58" s="1"/>
  <c r="F12" i="58"/>
  <c r="K13" i="58" l="1"/>
  <c r="I13" i="58"/>
  <c r="H13" i="58"/>
  <c r="L13" i="58" s="1"/>
  <c r="K16" i="58"/>
  <c r="K18" i="58" s="1"/>
  <c r="J16" i="58"/>
  <c r="J18" i="58" s="1"/>
  <c r="I16" i="58"/>
  <c r="I18" i="58" s="1"/>
  <c r="H16" i="58"/>
  <c r="G16" i="58"/>
  <c r="F16" i="58"/>
  <c r="H18" i="58" l="1"/>
  <c r="G18" i="58"/>
  <c r="F18" i="58"/>
  <c r="F9" i="58" s="1"/>
  <c r="G8" i="56" l="1"/>
  <c r="G14" i="56" s="1"/>
  <c r="F27" i="33" s="1"/>
  <c r="J8" i="53" l="1"/>
  <c r="L8" i="53" s="1"/>
  <c r="K8" i="53"/>
  <c r="O8" i="53" s="1"/>
  <c r="I9" i="53"/>
  <c r="J9" i="53" s="1"/>
  <c r="G9" i="53"/>
  <c r="Z10" i="52"/>
  <c r="AA10" i="52"/>
  <c r="T71" i="52"/>
  <c r="AA11" i="52" s="1"/>
  <c r="S71" i="52"/>
  <c r="Z11" i="52" s="1"/>
  <c r="R71" i="52"/>
  <c r="Y11" i="52" s="1"/>
  <c r="Q71" i="52"/>
  <c r="X11" i="52" s="1"/>
  <c r="AB11" i="52" s="1"/>
  <c r="P71" i="52"/>
  <c r="W11" i="52" s="1"/>
  <c r="O71" i="52"/>
  <c r="N71" i="52"/>
  <c r="M71" i="52"/>
  <c r="L71" i="52"/>
  <c r="K71" i="52"/>
  <c r="J71" i="52"/>
  <c r="I71" i="52"/>
  <c r="H71" i="52"/>
  <c r="G71" i="52"/>
  <c r="F71" i="52"/>
  <c r="E71" i="52"/>
  <c r="D71" i="52"/>
  <c r="C71" i="52"/>
  <c r="T60" i="52"/>
  <c r="S60" i="52"/>
  <c r="R60" i="52"/>
  <c r="Y10" i="52" s="1"/>
  <c r="Q60" i="52"/>
  <c r="P60" i="52"/>
  <c r="O60" i="52"/>
  <c r="N60" i="52"/>
  <c r="M60" i="52"/>
  <c r="L60" i="52"/>
  <c r="K60" i="52"/>
  <c r="J60" i="52"/>
  <c r="I60" i="52"/>
  <c r="I61" i="52" s="1"/>
  <c r="H60" i="52"/>
  <c r="G60" i="52"/>
  <c r="F60" i="52"/>
  <c r="E60" i="52"/>
  <c r="W10" i="52" s="1"/>
  <c r="D60" i="52"/>
  <c r="C60" i="52"/>
  <c r="T49" i="52"/>
  <c r="S49" i="52"/>
  <c r="R49" i="52"/>
  <c r="Q49" i="52"/>
  <c r="P49" i="52"/>
  <c r="O49" i="52"/>
  <c r="N49" i="52"/>
  <c r="M49" i="52"/>
  <c r="L49" i="52"/>
  <c r="K49" i="52"/>
  <c r="J49" i="52"/>
  <c r="I49" i="52"/>
  <c r="H49" i="52"/>
  <c r="G49" i="52"/>
  <c r="F49" i="52"/>
  <c r="E49" i="52"/>
  <c r="D42" i="52"/>
  <c r="D49" i="52" s="1"/>
  <c r="C42" i="52"/>
  <c r="C49" i="52" s="1"/>
  <c r="T34" i="52"/>
  <c r="S34" i="52"/>
  <c r="R34" i="52"/>
  <c r="Q34" i="52"/>
  <c r="P34" i="52"/>
  <c r="O34" i="52"/>
  <c r="N34" i="52"/>
  <c r="M34" i="52"/>
  <c r="L34" i="52"/>
  <c r="K34" i="52"/>
  <c r="J34" i="52"/>
  <c r="I34" i="52"/>
  <c r="H34" i="52"/>
  <c r="G34" i="52"/>
  <c r="F34" i="52"/>
  <c r="E34" i="52"/>
  <c r="D34" i="52"/>
  <c r="C34" i="52"/>
  <c r="T22" i="52"/>
  <c r="S22" i="52"/>
  <c r="R22" i="52"/>
  <c r="Q22" i="52"/>
  <c r="Q35" i="52" s="1"/>
  <c r="P22" i="52"/>
  <c r="P35" i="52" s="1"/>
  <c r="O22" i="52"/>
  <c r="N22" i="52"/>
  <c r="M22" i="52"/>
  <c r="M35" i="52" s="1"/>
  <c r="L22" i="52"/>
  <c r="L35" i="52" s="1"/>
  <c r="K22" i="52"/>
  <c r="J22" i="52"/>
  <c r="J35" i="52" s="1"/>
  <c r="I22" i="52"/>
  <c r="I35" i="52" s="1"/>
  <c r="H22" i="52"/>
  <c r="H35" i="52" s="1"/>
  <c r="G22" i="52"/>
  <c r="F22" i="52"/>
  <c r="E22" i="52"/>
  <c r="E35" i="52" s="1"/>
  <c r="D22" i="52"/>
  <c r="D35" i="52" s="1"/>
  <c r="C22" i="52"/>
  <c r="Y14" i="52" l="1"/>
  <c r="R35" i="52"/>
  <c r="K9" i="53"/>
  <c r="W14" i="52"/>
  <c r="H61" i="52"/>
  <c r="H72" i="52" s="1"/>
  <c r="H75" i="52" s="1"/>
  <c r="AA14" i="52"/>
  <c r="Z14" i="52"/>
  <c r="P61" i="52"/>
  <c r="Q61" i="52"/>
  <c r="X9" i="52" s="1"/>
  <c r="K61" i="52"/>
  <c r="K72" i="52" s="1"/>
  <c r="S61" i="52"/>
  <c r="Z9" i="52" s="1"/>
  <c r="J61" i="52"/>
  <c r="J72" i="52" s="1"/>
  <c r="J75" i="52" s="1"/>
  <c r="R61" i="52"/>
  <c r="Y9" i="52" s="1"/>
  <c r="L61" i="52"/>
  <c r="L72" i="52" s="1"/>
  <c r="L75" i="52" s="1"/>
  <c r="T61" i="52"/>
  <c r="T35" i="52"/>
  <c r="X10" i="52"/>
  <c r="P8" i="53"/>
  <c r="M8" i="53"/>
  <c r="O9" i="53"/>
  <c r="P9" i="53"/>
  <c r="M9" i="53"/>
  <c r="L9" i="53"/>
  <c r="M61" i="52"/>
  <c r="M72" i="52" s="1"/>
  <c r="M75" i="52" s="1"/>
  <c r="G61" i="52"/>
  <c r="G72" i="52" s="1"/>
  <c r="G75" i="52" s="1"/>
  <c r="O61" i="52"/>
  <c r="F61" i="52"/>
  <c r="F72" i="52" s="1"/>
  <c r="C35" i="52"/>
  <c r="K35" i="52"/>
  <c r="S35" i="52"/>
  <c r="P72" i="52"/>
  <c r="P75" i="52" s="1"/>
  <c r="D61" i="52"/>
  <c r="D72" i="52" s="1"/>
  <c r="D75" i="52" s="1"/>
  <c r="F35" i="52"/>
  <c r="N35" i="52"/>
  <c r="I72" i="52"/>
  <c r="I75" i="52" s="1"/>
  <c r="Q72" i="52"/>
  <c r="Q75" i="52" s="1"/>
  <c r="E61" i="52"/>
  <c r="N61" i="52"/>
  <c r="N72" i="52" s="1"/>
  <c r="G35" i="52"/>
  <c r="O35" i="52"/>
  <c r="O72" i="52"/>
  <c r="C61" i="52"/>
  <c r="C72" i="52"/>
  <c r="C75" i="52" s="1"/>
  <c r="E72" i="52" l="1"/>
  <c r="E75" i="52" s="1"/>
  <c r="W9" i="52"/>
  <c r="Y13" i="52"/>
  <c r="Z13" i="52"/>
  <c r="AB10" i="52"/>
  <c r="X14" i="52"/>
  <c r="AB14" i="52" s="1"/>
  <c r="X13" i="52"/>
  <c r="AB13" i="52" s="1"/>
  <c r="AB9" i="52"/>
  <c r="R72" i="52"/>
  <c r="R75" i="52" s="1"/>
  <c r="T72" i="52"/>
  <c r="T75" i="52" s="1"/>
  <c r="AA9" i="52"/>
  <c r="AA13" i="52" s="1"/>
  <c r="S72" i="52"/>
  <c r="S75" i="52" s="1"/>
  <c r="O75" i="52"/>
  <c r="F75" i="52"/>
  <c r="N75" i="52"/>
  <c r="K75" i="52"/>
  <c r="K10" i="53" l="1"/>
  <c r="J10" i="53"/>
  <c r="F29" i="33" s="1"/>
  <c r="F23" i="33" s="1"/>
  <c r="M10" i="53" l="1"/>
  <c r="L10" i="53"/>
  <c r="P10" i="53"/>
  <c r="O10" i="53"/>
  <c r="F9" i="33" l="1"/>
  <c r="F30" i="33" l="1"/>
  <c r="H7" i="33" l="1"/>
  <c r="F18" i="33" l="1"/>
  <c r="C5" i="37" l="1"/>
  <c r="G13" i="37"/>
  <c r="G37" i="37"/>
  <c r="G38" i="37"/>
  <c r="G39" i="37"/>
  <c r="G40" i="37"/>
  <c r="G41" i="37"/>
  <c r="G42" i="37"/>
  <c r="G43" i="37"/>
  <c r="G44" i="37"/>
  <c r="G45" i="37"/>
  <c r="G46" i="37"/>
  <c r="G47" i="37"/>
  <c r="G48" i="37"/>
  <c r="G49" i="37"/>
  <c r="G50" i="37"/>
  <c r="G51" i="37"/>
  <c r="G52" i="37"/>
  <c r="G53" i="37"/>
  <c r="G54" i="37"/>
  <c r="G55" i="37"/>
  <c r="G56" i="37"/>
  <c r="G57" i="37"/>
  <c r="G58" i="37"/>
  <c r="G59" i="37"/>
  <c r="G60" i="37"/>
  <c r="G61" i="37"/>
  <c r="G62" i="37"/>
  <c r="G63" i="37"/>
  <c r="G64" i="37"/>
  <c r="G65" i="37"/>
  <c r="G66" i="37"/>
  <c r="G67" i="37"/>
  <c r="G68" i="37"/>
  <c r="G69" i="37"/>
  <c r="G70" i="37"/>
  <c r="G71" i="37"/>
  <c r="G72" i="37"/>
  <c r="G73" i="37"/>
  <c r="G74" i="37"/>
  <c r="G75" i="37"/>
  <c r="G76" i="37"/>
  <c r="G77" i="37"/>
  <c r="G78" i="37"/>
  <c r="G79" i="37"/>
  <c r="G80" i="37"/>
  <c r="G81" i="37"/>
  <c r="G82" i="37"/>
  <c r="G83" i="37"/>
  <c r="G84" i="37"/>
  <c r="G85" i="37"/>
  <c r="G86" i="37"/>
  <c r="G87" i="37"/>
  <c r="G88" i="37"/>
  <c r="G89" i="37"/>
  <c r="G90" i="37"/>
  <c r="G91" i="37"/>
  <c r="G92" i="37"/>
  <c r="G93" i="37"/>
  <c r="G94" i="37"/>
  <c r="G95" i="37"/>
  <c r="G96" i="37"/>
  <c r="G97" i="37"/>
  <c r="F5" i="37"/>
  <c r="F6" i="37"/>
  <c r="F7" i="37"/>
  <c r="F8" i="37"/>
  <c r="F9" i="37"/>
  <c r="F10" i="37"/>
  <c r="F11" i="37"/>
  <c r="F12" i="37"/>
  <c r="F13" i="37"/>
  <c r="H13" i="37" s="1"/>
  <c r="F14" i="37"/>
  <c r="F15" i="37"/>
  <c r="F16" i="37"/>
  <c r="F17" i="37"/>
  <c r="F18" i="37"/>
  <c r="F19" i="37"/>
  <c r="F20" i="37"/>
  <c r="F21" i="37"/>
  <c r="F22" i="37"/>
  <c r="F23" i="37"/>
  <c r="F24" i="37"/>
  <c r="F25" i="37"/>
  <c r="F26" i="37"/>
  <c r="F27" i="37"/>
  <c r="F28" i="37"/>
  <c r="F29" i="37"/>
  <c r="F30" i="37"/>
  <c r="F31" i="37"/>
  <c r="F32" i="37"/>
  <c r="F33" i="37"/>
  <c r="F34" i="37"/>
  <c r="F35" i="37"/>
  <c r="F36" i="37"/>
  <c r="F37" i="37"/>
  <c r="F38" i="37"/>
  <c r="F39" i="37"/>
  <c r="F40" i="37"/>
  <c r="F41" i="37"/>
  <c r="F42" i="37"/>
  <c r="F43" i="37"/>
  <c r="F44" i="37"/>
  <c r="F45" i="37"/>
  <c r="F46" i="37"/>
  <c r="F47" i="37"/>
  <c r="F48" i="37"/>
  <c r="F49" i="37"/>
  <c r="F50" i="37"/>
  <c r="F51" i="37"/>
  <c r="F52" i="37"/>
  <c r="F53" i="37"/>
  <c r="F54" i="37"/>
  <c r="F55" i="37"/>
  <c r="F56" i="37"/>
  <c r="F57" i="37"/>
  <c r="F58" i="37"/>
  <c r="F59" i="37"/>
  <c r="F60" i="37"/>
  <c r="F61" i="37"/>
  <c r="F62" i="37"/>
  <c r="F63" i="37"/>
  <c r="F64" i="37"/>
  <c r="F65" i="37"/>
  <c r="F66" i="37"/>
  <c r="F67" i="37"/>
  <c r="F68" i="37"/>
  <c r="F69" i="37"/>
  <c r="F70" i="37"/>
  <c r="F71" i="37"/>
  <c r="F72" i="37"/>
  <c r="F73" i="37"/>
  <c r="F74" i="37"/>
  <c r="F75" i="37"/>
  <c r="F76" i="37"/>
  <c r="F77" i="37"/>
  <c r="F78" i="37"/>
  <c r="F79" i="37"/>
  <c r="F80" i="37"/>
  <c r="F81" i="37"/>
  <c r="F82" i="37"/>
  <c r="F83" i="37"/>
  <c r="F84" i="37"/>
  <c r="F85" i="37"/>
  <c r="F86" i="37"/>
  <c r="F87" i="37"/>
  <c r="F88" i="37"/>
  <c r="F89" i="37"/>
  <c r="F90" i="37"/>
  <c r="F91" i="37"/>
  <c r="F92" i="37"/>
  <c r="F93" i="37"/>
  <c r="F94" i="37"/>
  <c r="F95" i="37"/>
  <c r="F96" i="37"/>
  <c r="F97" i="37"/>
  <c r="F4" i="37"/>
  <c r="F96" i="38"/>
  <c r="D96" i="38"/>
  <c r="I95" i="38"/>
  <c r="J96" i="38" s="1"/>
  <c r="G95" i="38"/>
  <c r="H96" i="38" s="1"/>
  <c r="F95" i="38"/>
  <c r="D95" i="38"/>
  <c r="I94" i="38"/>
  <c r="G94" i="38"/>
  <c r="F94" i="38"/>
  <c r="E94" i="38"/>
  <c r="D94" i="38"/>
  <c r="I93" i="38"/>
  <c r="G93" i="38"/>
  <c r="F93" i="38"/>
  <c r="D93" i="38"/>
  <c r="I92" i="38"/>
  <c r="G92" i="38"/>
  <c r="F92" i="38"/>
  <c r="D92" i="38"/>
  <c r="I91" i="38"/>
  <c r="G91" i="38"/>
  <c r="F91" i="38"/>
  <c r="D91" i="38"/>
  <c r="I90" i="38"/>
  <c r="G90" i="38"/>
  <c r="F90" i="38"/>
  <c r="D90" i="38"/>
  <c r="I89" i="38"/>
  <c r="G89" i="38"/>
  <c r="F89" i="38"/>
  <c r="D89" i="38"/>
  <c r="I88" i="38"/>
  <c r="G88" i="38"/>
  <c r="F88" i="38"/>
  <c r="D88" i="38"/>
  <c r="I87" i="38"/>
  <c r="G87" i="38"/>
  <c r="F87" i="38"/>
  <c r="D87" i="38"/>
  <c r="I86" i="38"/>
  <c r="G86" i="38"/>
  <c r="F86" i="38"/>
  <c r="D86" i="38"/>
  <c r="I85" i="38"/>
  <c r="G85" i="38"/>
  <c r="F85" i="38"/>
  <c r="D85" i="38"/>
  <c r="I84" i="38"/>
  <c r="G84" i="38"/>
  <c r="F84" i="38"/>
  <c r="D84" i="38"/>
  <c r="I83" i="38"/>
  <c r="G83" i="38"/>
  <c r="F83" i="38"/>
  <c r="D83" i="38"/>
  <c r="I82" i="38"/>
  <c r="G82" i="38"/>
  <c r="F82" i="38"/>
  <c r="D82" i="38"/>
  <c r="I81" i="38"/>
  <c r="G81" i="38"/>
  <c r="F81" i="38"/>
  <c r="D81" i="38"/>
  <c r="I80" i="38"/>
  <c r="G80" i="38"/>
  <c r="F80" i="38"/>
  <c r="D80" i="38"/>
  <c r="I79" i="38"/>
  <c r="G79" i="38"/>
  <c r="F79" i="38"/>
  <c r="D79" i="38"/>
  <c r="I78" i="38"/>
  <c r="G78" i="38"/>
  <c r="F78" i="38"/>
  <c r="D78" i="38"/>
  <c r="I77" i="38"/>
  <c r="G77" i="38"/>
  <c r="F77" i="38"/>
  <c r="D77" i="38"/>
  <c r="I76" i="38"/>
  <c r="G76" i="38"/>
  <c r="F76" i="38"/>
  <c r="D76" i="38"/>
  <c r="I75" i="38"/>
  <c r="G75" i="38"/>
  <c r="F75" i="38"/>
  <c r="D75" i="38"/>
  <c r="I74" i="38"/>
  <c r="G74" i="38"/>
  <c r="F74" i="38"/>
  <c r="D74" i="38"/>
  <c r="I73" i="38"/>
  <c r="G73" i="38"/>
  <c r="F73" i="38"/>
  <c r="D73" i="38"/>
  <c r="I72" i="38"/>
  <c r="G72" i="38"/>
  <c r="F72" i="38"/>
  <c r="D72" i="38"/>
  <c r="I71" i="38"/>
  <c r="G71" i="38"/>
  <c r="F71" i="38"/>
  <c r="D71" i="38"/>
  <c r="I70" i="38"/>
  <c r="G70" i="38"/>
  <c r="F70" i="38"/>
  <c r="D70" i="38"/>
  <c r="I69" i="38"/>
  <c r="G69" i="38"/>
  <c r="F69" i="38"/>
  <c r="D69" i="38"/>
  <c r="I68" i="38"/>
  <c r="G68" i="38"/>
  <c r="F68" i="38"/>
  <c r="D68" i="38"/>
  <c r="I67" i="38"/>
  <c r="G67" i="38"/>
  <c r="F67" i="38"/>
  <c r="D67" i="38"/>
  <c r="I66" i="38"/>
  <c r="G66" i="38"/>
  <c r="F66" i="38"/>
  <c r="D66" i="38"/>
  <c r="I65" i="38"/>
  <c r="G65" i="38"/>
  <c r="F65" i="38"/>
  <c r="D65" i="38"/>
  <c r="I64" i="38"/>
  <c r="G64" i="38"/>
  <c r="F64" i="38"/>
  <c r="D64" i="38"/>
  <c r="I63" i="38"/>
  <c r="G63" i="38"/>
  <c r="F63" i="38"/>
  <c r="D63" i="38"/>
  <c r="I62" i="38"/>
  <c r="G62" i="38"/>
  <c r="F62" i="38"/>
  <c r="D62" i="38"/>
  <c r="I61" i="38"/>
  <c r="G61" i="38"/>
  <c r="F61" i="38"/>
  <c r="D61" i="38"/>
  <c r="I60" i="38"/>
  <c r="G60" i="38"/>
  <c r="F60" i="38"/>
  <c r="D60" i="38"/>
  <c r="I59" i="38"/>
  <c r="G59" i="38"/>
  <c r="F59" i="38"/>
  <c r="D59" i="38"/>
  <c r="I58" i="38"/>
  <c r="G58" i="38"/>
  <c r="F58" i="38"/>
  <c r="D58" i="38"/>
  <c r="I57" i="38"/>
  <c r="G57" i="38"/>
  <c r="F57" i="38"/>
  <c r="D57" i="38"/>
  <c r="I56" i="38"/>
  <c r="G56" i="38"/>
  <c r="F56" i="38"/>
  <c r="D56" i="38"/>
  <c r="I55" i="38"/>
  <c r="G55" i="38"/>
  <c r="F55" i="38"/>
  <c r="D55" i="38"/>
  <c r="I54" i="38"/>
  <c r="G54" i="38"/>
  <c r="H55" i="38" s="1"/>
  <c r="F54" i="38"/>
  <c r="D54" i="38"/>
  <c r="I53" i="38"/>
  <c r="G53" i="38"/>
  <c r="F53" i="38"/>
  <c r="D53" i="38"/>
  <c r="I52" i="38"/>
  <c r="G52" i="38"/>
  <c r="F52" i="38"/>
  <c r="D52" i="38"/>
  <c r="I51" i="38"/>
  <c r="G51" i="38"/>
  <c r="F51" i="38"/>
  <c r="D51" i="38"/>
  <c r="I50" i="38"/>
  <c r="G50" i="38"/>
  <c r="F50" i="38"/>
  <c r="D50" i="38"/>
  <c r="I49" i="38"/>
  <c r="G49" i="38"/>
  <c r="F49" i="38"/>
  <c r="D49" i="38"/>
  <c r="I48" i="38"/>
  <c r="G48" i="38"/>
  <c r="F48" i="38"/>
  <c r="D48" i="38"/>
  <c r="I47" i="38"/>
  <c r="G47" i="38"/>
  <c r="F47" i="38"/>
  <c r="D47" i="38"/>
  <c r="I46" i="38"/>
  <c r="G46" i="38"/>
  <c r="F46" i="38"/>
  <c r="D46" i="38"/>
  <c r="I45" i="38"/>
  <c r="G45" i="38"/>
  <c r="F45" i="38"/>
  <c r="D45" i="38"/>
  <c r="I44" i="38"/>
  <c r="G44" i="38"/>
  <c r="H45" i="38" s="1"/>
  <c r="F44" i="38"/>
  <c r="D44" i="38"/>
  <c r="I43" i="38"/>
  <c r="G43" i="38"/>
  <c r="F43" i="38"/>
  <c r="D43" i="38"/>
  <c r="I42" i="38"/>
  <c r="G42" i="38"/>
  <c r="F42" i="38"/>
  <c r="D42" i="38"/>
  <c r="I41" i="38"/>
  <c r="G41" i="38"/>
  <c r="F41" i="38"/>
  <c r="D41" i="38"/>
  <c r="I40" i="38"/>
  <c r="G40" i="38"/>
  <c r="H40" i="38" s="1"/>
  <c r="F40" i="38"/>
  <c r="D40" i="38"/>
  <c r="I39" i="38"/>
  <c r="G39" i="38"/>
  <c r="F39" i="38"/>
  <c r="D39" i="38"/>
  <c r="I38" i="38"/>
  <c r="G38" i="38"/>
  <c r="H39" i="38" s="1"/>
  <c r="F38" i="38"/>
  <c r="D38" i="38"/>
  <c r="I37" i="38"/>
  <c r="G37" i="38"/>
  <c r="F37" i="38"/>
  <c r="D37" i="38"/>
  <c r="I36" i="38"/>
  <c r="G36" i="38"/>
  <c r="F36" i="38"/>
  <c r="D36" i="38"/>
  <c r="I35" i="38"/>
  <c r="G35" i="38"/>
  <c r="F35" i="38"/>
  <c r="C35" i="38"/>
  <c r="G36" i="37" s="1"/>
  <c r="I34" i="38"/>
  <c r="G34" i="38"/>
  <c r="F34" i="38"/>
  <c r="C34" i="38"/>
  <c r="G35" i="37" s="1"/>
  <c r="I33" i="38"/>
  <c r="G33" i="38"/>
  <c r="F33" i="38"/>
  <c r="C33" i="38"/>
  <c r="G34" i="37" s="1"/>
  <c r="I32" i="38"/>
  <c r="G32" i="38"/>
  <c r="F32" i="38"/>
  <c r="C32" i="38"/>
  <c r="G33" i="37" s="1"/>
  <c r="I31" i="38"/>
  <c r="G31" i="38"/>
  <c r="F31" i="38"/>
  <c r="C31" i="38"/>
  <c r="G32" i="37" s="1"/>
  <c r="I30" i="38"/>
  <c r="G30" i="38"/>
  <c r="F30" i="38"/>
  <c r="C30" i="38"/>
  <c r="G31" i="37" s="1"/>
  <c r="I29" i="38"/>
  <c r="G29" i="38"/>
  <c r="F29" i="38"/>
  <c r="C29" i="38"/>
  <c r="G30" i="37" s="1"/>
  <c r="I28" i="38"/>
  <c r="G28" i="38"/>
  <c r="H29" i="38" s="1"/>
  <c r="F28" i="38"/>
  <c r="C28" i="38"/>
  <c r="G29" i="37" s="1"/>
  <c r="I27" i="38"/>
  <c r="G27" i="38"/>
  <c r="F27" i="38"/>
  <c r="C27" i="38"/>
  <c r="G28" i="37" s="1"/>
  <c r="I26" i="38"/>
  <c r="G26" i="38"/>
  <c r="F26" i="38"/>
  <c r="C26" i="38"/>
  <c r="G27" i="37" s="1"/>
  <c r="I25" i="38"/>
  <c r="G25" i="38"/>
  <c r="F25" i="38"/>
  <c r="C25" i="38"/>
  <c r="G26" i="37" s="1"/>
  <c r="I24" i="38"/>
  <c r="G24" i="38"/>
  <c r="F24" i="38"/>
  <c r="C24" i="38"/>
  <c r="G25" i="37" s="1"/>
  <c r="I23" i="38"/>
  <c r="G23" i="38"/>
  <c r="F23" i="38"/>
  <c r="C23" i="38"/>
  <c r="G24" i="37" s="1"/>
  <c r="I22" i="38"/>
  <c r="G22" i="38"/>
  <c r="F22" i="38"/>
  <c r="C22" i="38"/>
  <c r="G23" i="37" s="1"/>
  <c r="I21" i="38"/>
  <c r="G21" i="38"/>
  <c r="F21" i="38"/>
  <c r="C21" i="38"/>
  <c r="G22" i="37" s="1"/>
  <c r="I20" i="38"/>
  <c r="G20" i="38"/>
  <c r="F20" i="38"/>
  <c r="C20" i="38"/>
  <c r="G21" i="37" s="1"/>
  <c r="I19" i="38"/>
  <c r="G19" i="38"/>
  <c r="F19" i="38"/>
  <c r="C19" i="38"/>
  <c r="G20" i="37" s="1"/>
  <c r="I18" i="38"/>
  <c r="G18" i="38"/>
  <c r="F18" i="38"/>
  <c r="C18" i="38"/>
  <c r="G19" i="37" s="1"/>
  <c r="I17" i="38"/>
  <c r="G17" i="38"/>
  <c r="F17" i="38"/>
  <c r="C17" i="38"/>
  <c r="G18" i="37" s="1"/>
  <c r="I16" i="38"/>
  <c r="G16" i="38"/>
  <c r="F16" i="38"/>
  <c r="C16" i="38"/>
  <c r="G17" i="37" s="1"/>
  <c r="I15" i="38"/>
  <c r="G15" i="38"/>
  <c r="F15" i="38"/>
  <c r="C15" i="38"/>
  <c r="G16" i="37" s="1"/>
  <c r="I14" i="38"/>
  <c r="G14" i="38"/>
  <c r="F14" i="38"/>
  <c r="C14" i="38"/>
  <c r="G15" i="37" s="1"/>
  <c r="I13" i="38"/>
  <c r="G13" i="38"/>
  <c r="F13" i="38"/>
  <c r="C13" i="38"/>
  <c r="G14" i="37" s="1"/>
  <c r="I12" i="38"/>
  <c r="G12" i="38"/>
  <c r="F12" i="38"/>
  <c r="D12" i="38"/>
  <c r="I11" i="38"/>
  <c r="G11" i="38"/>
  <c r="F11" i="38"/>
  <c r="C11" i="38"/>
  <c r="G12" i="37" s="1"/>
  <c r="I10" i="38"/>
  <c r="G10" i="38"/>
  <c r="F10" i="38"/>
  <c r="C10" i="38"/>
  <c r="G11" i="37" s="1"/>
  <c r="I9" i="38"/>
  <c r="G9" i="38"/>
  <c r="F9" i="38"/>
  <c r="C9" i="38"/>
  <c r="G10" i="37" s="1"/>
  <c r="I8" i="38"/>
  <c r="G8" i="38"/>
  <c r="F8" i="38"/>
  <c r="C8" i="38"/>
  <c r="G9" i="37" s="1"/>
  <c r="I7" i="38"/>
  <c r="G7" i="38"/>
  <c r="F7" i="38"/>
  <c r="C7" i="38"/>
  <c r="G8" i="37" s="1"/>
  <c r="I6" i="38"/>
  <c r="G6" i="38"/>
  <c r="F6" i="38"/>
  <c r="C6" i="38"/>
  <c r="G7" i="37" s="1"/>
  <c r="I5" i="38"/>
  <c r="G5" i="38"/>
  <c r="F5" i="38"/>
  <c r="C5" i="38"/>
  <c r="G6" i="37" s="1"/>
  <c r="I4" i="38"/>
  <c r="G4" i="38"/>
  <c r="F4" i="38"/>
  <c r="C4" i="38"/>
  <c r="G5" i="37" s="1"/>
  <c r="I3" i="38"/>
  <c r="G3" i="38"/>
  <c r="C3" i="38"/>
  <c r="G4" i="37" s="1"/>
  <c r="E97" i="37"/>
  <c r="E96" i="37"/>
  <c r="E95" i="37"/>
  <c r="E94" i="37"/>
  <c r="E93" i="37"/>
  <c r="E92" i="37"/>
  <c r="E91" i="37"/>
  <c r="E90" i="37"/>
  <c r="E89" i="37"/>
  <c r="E88" i="37"/>
  <c r="E87" i="37"/>
  <c r="E86" i="37"/>
  <c r="E85" i="37"/>
  <c r="E84" i="37"/>
  <c r="E83" i="37"/>
  <c r="E82" i="37"/>
  <c r="E81" i="37"/>
  <c r="E80" i="37"/>
  <c r="E79" i="37"/>
  <c r="E78" i="37"/>
  <c r="E77" i="37"/>
  <c r="E76" i="37"/>
  <c r="E75" i="37"/>
  <c r="E74" i="37"/>
  <c r="E73" i="37"/>
  <c r="E72" i="37"/>
  <c r="E71" i="37"/>
  <c r="E70" i="37"/>
  <c r="E69" i="37"/>
  <c r="E68" i="37"/>
  <c r="E67" i="37"/>
  <c r="E66" i="37"/>
  <c r="E65" i="37"/>
  <c r="E64" i="37"/>
  <c r="E63" i="37"/>
  <c r="E62" i="37"/>
  <c r="E61" i="37"/>
  <c r="E60" i="37"/>
  <c r="E59" i="37"/>
  <c r="E58" i="37"/>
  <c r="E57" i="37"/>
  <c r="E56" i="37"/>
  <c r="E55" i="37"/>
  <c r="E54" i="37"/>
  <c r="E53" i="37"/>
  <c r="E52" i="37"/>
  <c r="E51" i="37"/>
  <c r="E50" i="37"/>
  <c r="E49" i="37"/>
  <c r="E48" i="37"/>
  <c r="E47" i="37"/>
  <c r="E46" i="37"/>
  <c r="E45" i="37"/>
  <c r="E44" i="37"/>
  <c r="E43" i="37"/>
  <c r="E42" i="37"/>
  <c r="E41" i="37"/>
  <c r="E40" i="37"/>
  <c r="E39" i="37"/>
  <c r="E38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11" i="37"/>
  <c r="E10" i="37"/>
  <c r="E9" i="37"/>
  <c r="E8" i="37"/>
  <c r="E7" i="37"/>
  <c r="E6" i="37"/>
  <c r="E5" i="37"/>
  <c r="E4" i="37"/>
  <c r="H5" i="37" l="1"/>
  <c r="H44" i="37"/>
  <c r="H96" i="37"/>
  <c r="H85" i="37"/>
  <c r="H77" i="37"/>
  <c r="H69" i="37"/>
  <c r="H61" i="37"/>
  <c r="H53" i="37"/>
  <c r="H45" i="37"/>
  <c r="H37" i="37"/>
  <c r="H56" i="38"/>
  <c r="H92" i="37"/>
  <c r="H84" i="37"/>
  <c r="H76" i="37"/>
  <c r="H68" i="37"/>
  <c r="H60" i="37"/>
  <c r="H52" i="37"/>
  <c r="H36" i="37"/>
  <c r="H28" i="37"/>
  <c r="H20" i="37"/>
  <c r="H12" i="37"/>
  <c r="H91" i="37"/>
  <c r="H83" i="37"/>
  <c r="H75" i="37"/>
  <c r="H67" i="37"/>
  <c r="H59" i="37"/>
  <c r="H51" i="37"/>
  <c r="H43" i="37"/>
  <c r="H35" i="37"/>
  <c r="H27" i="37"/>
  <c r="H19" i="37"/>
  <c r="H11" i="37"/>
  <c r="H21" i="37"/>
  <c r="H88" i="37"/>
  <c r="H80" i="37"/>
  <c r="H72" i="37"/>
  <c r="H64" i="37"/>
  <c r="H56" i="37"/>
  <c r="H48" i="37"/>
  <c r="H40" i="37"/>
  <c r="H32" i="37"/>
  <c r="H24" i="37"/>
  <c r="H16" i="37"/>
  <c r="H29" i="37"/>
  <c r="H94" i="37"/>
  <c r="H86" i="37"/>
  <c r="H78" i="37"/>
  <c r="H70" i="37"/>
  <c r="H62" i="37"/>
  <c r="H54" i="37"/>
  <c r="H46" i="37"/>
  <c r="H30" i="37"/>
  <c r="H22" i="37"/>
  <c r="H14" i="37"/>
  <c r="H6" i="37"/>
  <c r="J9" i="38"/>
  <c r="J19" i="38"/>
  <c r="J35" i="38"/>
  <c r="J25" i="38"/>
  <c r="J37" i="38"/>
  <c r="J21" i="38"/>
  <c r="H88" i="38"/>
  <c r="J94" i="38"/>
  <c r="J57" i="38"/>
  <c r="J59" i="38"/>
  <c r="J67" i="38"/>
  <c r="J69" i="38"/>
  <c r="H4" i="38"/>
  <c r="H5" i="38"/>
  <c r="H8" i="38"/>
  <c r="H16" i="38"/>
  <c r="H18" i="38"/>
  <c r="H20" i="38"/>
  <c r="H21" i="38"/>
  <c r="H24" i="38"/>
  <c r="H94" i="38"/>
  <c r="J76" i="38"/>
  <c r="J78" i="38"/>
  <c r="J80" i="38"/>
  <c r="J81" i="38"/>
  <c r="J92" i="38"/>
  <c r="J41" i="38"/>
  <c r="J51" i="38"/>
  <c r="J53" i="38"/>
  <c r="H61" i="38"/>
  <c r="H71" i="38"/>
  <c r="H72" i="38"/>
  <c r="H77" i="38"/>
  <c r="H87" i="38"/>
  <c r="J28" i="38"/>
  <c r="J30" i="38"/>
  <c r="J32" i="38"/>
  <c r="J33" i="38"/>
  <c r="H48" i="38"/>
  <c r="H50" i="38"/>
  <c r="H52" i="38"/>
  <c r="H53" i="38"/>
  <c r="J89" i="38"/>
  <c r="J12" i="38"/>
  <c r="J14" i="38"/>
  <c r="J16" i="38"/>
  <c r="J17" i="38"/>
  <c r="H32" i="38"/>
  <c r="H34" i="38"/>
  <c r="H36" i="38"/>
  <c r="H37" i="38"/>
  <c r="J73" i="38"/>
  <c r="J83" i="38"/>
  <c r="J85" i="38"/>
  <c r="H93" i="38"/>
  <c r="H7" i="38"/>
  <c r="J44" i="38"/>
  <c r="J46" i="38"/>
  <c r="J48" i="38"/>
  <c r="J49" i="38"/>
  <c r="H64" i="38"/>
  <c r="H66" i="38"/>
  <c r="H68" i="38"/>
  <c r="H69" i="38"/>
  <c r="J5" i="38"/>
  <c r="J60" i="38"/>
  <c r="J64" i="38"/>
  <c r="H84" i="38"/>
  <c r="H13" i="38"/>
  <c r="H23" i="38"/>
  <c r="J62" i="38"/>
  <c r="J65" i="38"/>
  <c r="H80" i="38"/>
  <c r="H82" i="38"/>
  <c r="H85" i="38"/>
  <c r="J11" i="38"/>
  <c r="J27" i="38"/>
  <c r="J43" i="38"/>
  <c r="J91" i="38"/>
  <c r="J75" i="38"/>
  <c r="J6" i="38"/>
  <c r="J8" i="38"/>
  <c r="H10" i="38"/>
  <c r="J22" i="38"/>
  <c r="J24" i="38"/>
  <c r="H26" i="38"/>
  <c r="J38" i="38"/>
  <c r="J40" i="38"/>
  <c r="H42" i="38"/>
  <c r="J54" i="38"/>
  <c r="J56" i="38"/>
  <c r="H58" i="38"/>
  <c r="J70" i="38"/>
  <c r="J72" i="38"/>
  <c r="H74" i="38"/>
  <c r="J86" i="38"/>
  <c r="J88" i="38"/>
  <c r="H90" i="38"/>
  <c r="H15" i="38"/>
  <c r="H17" i="38"/>
  <c r="H31" i="38"/>
  <c r="H33" i="38"/>
  <c r="H47" i="38"/>
  <c r="H49" i="38"/>
  <c r="H63" i="38"/>
  <c r="H65" i="38"/>
  <c r="H79" i="38"/>
  <c r="H81" i="38"/>
  <c r="H11" i="38"/>
  <c r="H27" i="38"/>
  <c r="H43" i="38"/>
  <c r="H59" i="38"/>
  <c r="H75" i="38"/>
  <c r="H91" i="38"/>
  <c r="J4" i="38"/>
  <c r="J20" i="38"/>
  <c r="J36" i="38"/>
  <c r="J52" i="38"/>
  <c r="J68" i="38"/>
  <c r="J84" i="38"/>
  <c r="J10" i="38"/>
  <c r="H19" i="38"/>
  <c r="H51" i="38"/>
  <c r="J58" i="38"/>
  <c r="J74" i="38"/>
  <c r="H83" i="38"/>
  <c r="H9" i="38"/>
  <c r="H12" i="38"/>
  <c r="J13" i="38"/>
  <c r="H28" i="38"/>
  <c r="J39" i="38"/>
  <c r="H41" i="38"/>
  <c r="H44" i="38"/>
  <c r="J45" i="38"/>
  <c r="J55" i="38"/>
  <c r="H57" i="38"/>
  <c r="H60" i="38"/>
  <c r="J61" i="38"/>
  <c r="J71" i="38"/>
  <c r="H73" i="38"/>
  <c r="H76" i="38"/>
  <c r="J77" i="38"/>
  <c r="J87" i="38"/>
  <c r="H89" i="38"/>
  <c r="H92" i="38"/>
  <c r="J93" i="38"/>
  <c r="J26" i="38"/>
  <c r="H35" i="38"/>
  <c r="J42" i="38"/>
  <c r="H67" i="38"/>
  <c r="J90" i="38"/>
  <c r="J7" i="38"/>
  <c r="J23" i="38"/>
  <c r="H25" i="38"/>
  <c r="J29" i="38"/>
  <c r="H6" i="38"/>
  <c r="H22" i="38"/>
  <c r="H38" i="38"/>
  <c r="H54" i="38"/>
  <c r="H70" i="38"/>
  <c r="H86" i="38"/>
  <c r="J34" i="38"/>
  <c r="J50" i="38"/>
  <c r="J15" i="38"/>
  <c r="J31" i="38"/>
  <c r="J47" i="38"/>
  <c r="J63" i="38"/>
  <c r="J79" i="38"/>
  <c r="H95" i="38"/>
  <c r="J18" i="38"/>
  <c r="J66" i="38"/>
  <c r="J82" i="38"/>
  <c r="H14" i="38"/>
  <c r="H30" i="38"/>
  <c r="H46" i="38"/>
  <c r="H62" i="38"/>
  <c r="H78" i="38"/>
  <c r="J95" i="38"/>
  <c r="H93" i="37"/>
  <c r="H38" i="37"/>
  <c r="H90" i="37"/>
  <c r="H82" i="37"/>
  <c r="H74" i="37"/>
  <c r="H66" i="37"/>
  <c r="H58" i="37"/>
  <c r="H50" i="37"/>
  <c r="H42" i="37"/>
  <c r="H34" i="37"/>
  <c r="H26" i="37"/>
  <c r="H18" i="37"/>
  <c r="H10" i="37"/>
  <c r="H97" i="37"/>
  <c r="H89" i="37"/>
  <c r="H81" i="37"/>
  <c r="H73" i="37"/>
  <c r="H65" i="37"/>
  <c r="H57" i="37"/>
  <c r="H49" i="37"/>
  <c r="H41" i="37"/>
  <c r="H33" i="37"/>
  <c r="H25" i="37"/>
  <c r="H17" i="37"/>
  <c r="H9" i="37"/>
  <c r="H8" i="37"/>
  <c r="H95" i="37"/>
  <c r="H87" i="37"/>
  <c r="H79" i="37"/>
  <c r="H71" i="37"/>
  <c r="H63" i="37"/>
  <c r="H55" i="37"/>
  <c r="H47" i="37"/>
  <c r="H39" i="37"/>
  <c r="H31" i="37"/>
  <c r="H23" i="37"/>
  <c r="H15" i="37"/>
  <c r="H7" i="37"/>
  <c r="E4" i="32"/>
  <c r="F4" i="32"/>
  <c r="G8" i="32"/>
  <c r="G16" i="32"/>
  <c r="G24" i="32"/>
  <c r="G32" i="32"/>
  <c r="G40" i="32"/>
  <c r="G48" i="32"/>
  <c r="G56" i="32"/>
  <c r="G64" i="32"/>
  <c r="G72" i="32"/>
  <c r="G80" i="32"/>
  <c r="G91" i="32"/>
  <c r="G96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F31" i="32"/>
  <c r="F32" i="32"/>
  <c r="F33" i="32"/>
  <c r="F34" i="32"/>
  <c r="F35" i="32"/>
  <c r="F36" i="32"/>
  <c r="F37" i="32"/>
  <c r="F38" i="32"/>
  <c r="F39" i="32"/>
  <c r="F40" i="32"/>
  <c r="F41" i="32"/>
  <c r="F42" i="32"/>
  <c r="F43" i="32"/>
  <c r="F44" i="32"/>
  <c r="F45" i="32"/>
  <c r="F46" i="32"/>
  <c r="F47" i="32"/>
  <c r="F48" i="32"/>
  <c r="F49" i="32"/>
  <c r="F50" i="32"/>
  <c r="F51" i="32"/>
  <c r="F52" i="32"/>
  <c r="F53" i="32"/>
  <c r="F54" i="32"/>
  <c r="F55" i="32"/>
  <c r="F56" i="32"/>
  <c r="F57" i="32"/>
  <c r="F58" i="32"/>
  <c r="F59" i="32"/>
  <c r="F60" i="32"/>
  <c r="F61" i="32"/>
  <c r="F62" i="32"/>
  <c r="F63" i="32"/>
  <c r="F64" i="32"/>
  <c r="F65" i="32"/>
  <c r="F66" i="32"/>
  <c r="F67" i="32"/>
  <c r="F68" i="32"/>
  <c r="F69" i="32"/>
  <c r="F70" i="32"/>
  <c r="F71" i="32"/>
  <c r="F72" i="32"/>
  <c r="F73" i="32"/>
  <c r="F74" i="32"/>
  <c r="F75" i="32"/>
  <c r="F76" i="32"/>
  <c r="F77" i="32"/>
  <c r="F78" i="32"/>
  <c r="F79" i="32"/>
  <c r="F80" i="32"/>
  <c r="F81" i="32"/>
  <c r="F82" i="32"/>
  <c r="F83" i="32"/>
  <c r="F84" i="32"/>
  <c r="F85" i="32"/>
  <c r="F88" i="32"/>
  <c r="F89" i="32"/>
  <c r="F90" i="32"/>
  <c r="F91" i="32"/>
  <c r="F92" i="32"/>
  <c r="F93" i="32"/>
  <c r="F94" i="32"/>
  <c r="F95" i="32"/>
  <c r="F96" i="32"/>
  <c r="F97" i="32"/>
  <c r="F13" i="32"/>
  <c r="F14" i="32"/>
  <c r="F15" i="32"/>
  <c r="F16" i="32"/>
  <c r="F17" i="32"/>
  <c r="F18" i="32"/>
  <c r="F12" i="32"/>
  <c r="F5" i="32"/>
  <c r="F6" i="32"/>
  <c r="F7" i="32"/>
  <c r="F8" i="32"/>
  <c r="F9" i="32"/>
  <c r="F10" i="32"/>
  <c r="F11" i="32"/>
  <c r="E23" i="32"/>
  <c r="E24" i="32"/>
  <c r="E25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38" i="32"/>
  <c r="E39" i="32"/>
  <c r="E40" i="32"/>
  <c r="E41" i="32"/>
  <c r="E42" i="32"/>
  <c r="E43" i="32"/>
  <c r="E44" i="32"/>
  <c r="E45" i="32"/>
  <c r="E46" i="32"/>
  <c r="E47" i="32"/>
  <c r="E48" i="32"/>
  <c r="E49" i="32"/>
  <c r="E50" i="32"/>
  <c r="E51" i="32"/>
  <c r="E52" i="32"/>
  <c r="E53" i="32"/>
  <c r="E54" i="32"/>
  <c r="E55" i="32"/>
  <c r="E56" i="32"/>
  <c r="E57" i="32"/>
  <c r="E58" i="32"/>
  <c r="E59" i="32"/>
  <c r="E60" i="32"/>
  <c r="E61" i="32"/>
  <c r="E62" i="32"/>
  <c r="E63" i="32"/>
  <c r="E64" i="32"/>
  <c r="E65" i="32"/>
  <c r="E66" i="32"/>
  <c r="E67" i="32"/>
  <c r="E68" i="32"/>
  <c r="E69" i="32"/>
  <c r="E70" i="32"/>
  <c r="E71" i="32"/>
  <c r="E72" i="32"/>
  <c r="E73" i="32"/>
  <c r="E74" i="32"/>
  <c r="E75" i="32"/>
  <c r="E76" i="32"/>
  <c r="E77" i="32"/>
  <c r="E78" i="32"/>
  <c r="E79" i="32"/>
  <c r="E80" i="32"/>
  <c r="E81" i="32"/>
  <c r="E82" i="32"/>
  <c r="E83" i="32"/>
  <c r="E84" i="32"/>
  <c r="E85" i="32"/>
  <c r="E86" i="32"/>
  <c r="E87" i="32"/>
  <c r="E88" i="32"/>
  <c r="E89" i="32"/>
  <c r="E90" i="32"/>
  <c r="E91" i="32"/>
  <c r="E92" i="32"/>
  <c r="E93" i="32"/>
  <c r="E94" i="32"/>
  <c r="E95" i="32"/>
  <c r="E96" i="32"/>
  <c r="E97" i="32"/>
  <c r="E9" i="32"/>
  <c r="E10" i="32"/>
  <c r="E11" i="32"/>
  <c r="E12" i="32"/>
  <c r="E13" i="32"/>
  <c r="E14" i="32"/>
  <c r="E15" i="32"/>
  <c r="E16" i="32"/>
  <c r="E17" i="32"/>
  <c r="E18" i="32"/>
  <c r="E19" i="32"/>
  <c r="E20" i="32"/>
  <c r="E21" i="32"/>
  <c r="E22" i="32"/>
  <c r="E5" i="32"/>
  <c r="E6" i="32"/>
  <c r="E7" i="32"/>
  <c r="E8" i="32"/>
  <c r="G5" i="32"/>
  <c r="C10" i="35"/>
  <c r="G6" i="32" s="1"/>
  <c r="C11" i="35"/>
  <c r="G7" i="32" s="1"/>
  <c r="C12" i="35"/>
  <c r="C13" i="35"/>
  <c r="G9" i="32" s="1"/>
  <c r="C14" i="35"/>
  <c r="G10" i="32" s="1"/>
  <c r="C15" i="35"/>
  <c r="G11" i="32" s="1"/>
  <c r="C16" i="35"/>
  <c r="G12" i="32" s="1"/>
  <c r="C17" i="35"/>
  <c r="G13" i="32" s="1"/>
  <c r="C18" i="35"/>
  <c r="G14" i="32" s="1"/>
  <c r="C19" i="35"/>
  <c r="G15" i="32" s="1"/>
  <c r="C20" i="35"/>
  <c r="C21" i="35"/>
  <c r="G17" i="32" s="1"/>
  <c r="C22" i="35"/>
  <c r="G18" i="32" s="1"/>
  <c r="C23" i="35"/>
  <c r="G19" i="32" s="1"/>
  <c r="C24" i="35"/>
  <c r="G20" i="32" s="1"/>
  <c r="C25" i="35"/>
  <c r="G21" i="32" s="1"/>
  <c r="C26" i="35"/>
  <c r="G22" i="32" s="1"/>
  <c r="C27" i="35"/>
  <c r="G23" i="32" s="1"/>
  <c r="C28" i="35"/>
  <c r="C29" i="35"/>
  <c r="G25" i="32" s="1"/>
  <c r="C30" i="35"/>
  <c r="G26" i="32" s="1"/>
  <c r="C31" i="35"/>
  <c r="G27" i="32" s="1"/>
  <c r="C32" i="35"/>
  <c r="G28" i="32" s="1"/>
  <c r="C33" i="35"/>
  <c r="G29" i="32" s="1"/>
  <c r="C34" i="35"/>
  <c r="G30" i="32" s="1"/>
  <c r="C35" i="35"/>
  <c r="G31" i="32" s="1"/>
  <c r="C36" i="35"/>
  <c r="C37" i="35"/>
  <c r="G33" i="32" s="1"/>
  <c r="C38" i="35"/>
  <c r="G34" i="32" s="1"/>
  <c r="C39" i="35"/>
  <c r="G35" i="32" s="1"/>
  <c r="C40" i="35"/>
  <c r="G36" i="32" s="1"/>
  <c r="C41" i="35"/>
  <c r="G37" i="32" s="1"/>
  <c r="C42" i="35"/>
  <c r="G38" i="32" s="1"/>
  <c r="C43" i="35"/>
  <c r="G39" i="32" s="1"/>
  <c r="C44" i="35"/>
  <c r="C45" i="35"/>
  <c r="G41" i="32" s="1"/>
  <c r="C46" i="35"/>
  <c r="G42" i="32" s="1"/>
  <c r="C47" i="35"/>
  <c r="G43" i="32" s="1"/>
  <c r="C48" i="35"/>
  <c r="G44" i="32" s="1"/>
  <c r="C49" i="35"/>
  <c r="G45" i="32" s="1"/>
  <c r="C50" i="35"/>
  <c r="G46" i="32" s="1"/>
  <c r="C51" i="35"/>
  <c r="G47" i="32" s="1"/>
  <c r="C52" i="35"/>
  <c r="C53" i="35"/>
  <c r="G49" i="32" s="1"/>
  <c r="C54" i="35"/>
  <c r="G50" i="32" s="1"/>
  <c r="C55" i="35"/>
  <c r="G51" i="32" s="1"/>
  <c r="C56" i="35"/>
  <c r="G52" i="32" s="1"/>
  <c r="C57" i="35"/>
  <c r="G53" i="32" s="1"/>
  <c r="C58" i="35"/>
  <c r="G54" i="32" s="1"/>
  <c r="C59" i="35"/>
  <c r="G55" i="32" s="1"/>
  <c r="C60" i="35"/>
  <c r="C61" i="35"/>
  <c r="G57" i="32" s="1"/>
  <c r="C62" i="35"/>
  <c r="G58" i="32" s="1"/>
  <c r="C63" i="35"/>
  <c r="G59" i="32" s="1"/>
  <c r="C64" i="35"/>
  <c r="G60" i="32" s="1"/>
  <c r="C65" i="35"/>
  <c r="G61" i="32" s="1"/>
  <c r="C66" i="35"/>
  <c r="G62" i="32" s="1"/>
  <c r="C67" i="35"/>
  <c r="G63" i="32" s="1"/>
  <c r="C68" i="35"/>
  <c r="C69" i="35"/>
  <c r="G65" i="32" s="1"/>
  <c r="C70" i="35"/>
  <c r="G66" i="32" s="1"/>
  <c r="C71" i="35"/>
  <c r="G67" i="32" s="1"/>
  <c r="C72" i="35"/>
  <c r="G68" i="32" s="1"/>
  <c r="C73" i="35"/>
  <c r="G69" i="32" s="1"/>
  <c r="C74" i="35"/>
  <c r="G70" i="32" s="1"/>
  <c r="C75" i="35"/>
  <c r="G71" i="32" s="1"/>
  <c r="C76" i="35"/>
  <c r="C77" i="35"/>
  <c r="G73" i="32" s="1"/>
  <c r="C78" i="35"/>
  <c r="G74" i="32" s="1"/>
  <c r="C79" i="35"/>
  <c r="G75" i="32" s="1"/>
  <c r="C80" i="35"/>
  <c r="G76" i="32" s="1"/>
  <c r="C81" i="35"/>
  <c r="G77" i="32" s="1"/>
  <c r="C82" i="35"/>
  <c r="G78" i="32" s="1"/>
  <c r="C83" i="35"/>
  <c r="G79" i="32" s="1"/>
  <c r="C84" i="35"/>
  <c r="C85" i="35"/>
  <c r="G81" i="32" s="1"/>
  <c r="C86" i="35"/>
  <c r="G82" i="32" s="1"/>
  <c r="C87" i="35"/>
  <c r="G83" i="32" s="1"/>
  <c r="C88" i="35"/>
  <c r="G84" i="32" s="1"/>
  <c r="C89" i="35"/>
  <c r="G85" i="32" s="1"/>
  <c r="B90" i="35"/>
  <c r="B91" i="35"/>
  <c r="C93" i="35"/>
  <c r="G89" i="32" s="1"/>
  <c r="C94" i="35"/>
  <c r="G90" i="32" s="1"/>
  <c r="C95" i="35"/>
  <c r="C96" i="35"/>
  <c r="G92" i="32" s="1"/>
  <c r="C97" i="35"/>
  <c r="G93" i="32" s="1"/>
  <c r="C98" i="35"/>
  <c r="G94" i="32" s="1"/>
  <c r="C99" i="35"/>
  <c r="G95" i="32" s="1"/>
  <c r="C100" i="35"/>
  <c r="C101" i="35"/>
  <c r="G97" i="32" s="1"/>
  <c r="C92" i="35" l="1"/>
  <c r="C90" i="35"/>
  <c r="G86" i="32" s="1"/>
  <c r="F21" i="33"/>
  <c r="F87" i="32"/>
  <c r="C4" i="37"/>
  <c r="F86" i="32"/>
  <c r="C91" i="35"/>
  <c r="G87" i="32" s="1"/>
  <c r="G88" i="32" l="1"/>
  <c r="C4" i="32" s="1"/>
  <c r="F19" i="33"/>
  <c r="C6" i="37" l="1"/>
  <c r="C8" i="37" s="1"/>
  <c r="F20" i="33" s="1"/>
  <c r="F16" i="33"/>
  <c r="F15" i="33" l="1"/>
  <c r="F11" i="33" s="1"/>
  <c r="F7" i="3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tc={C547A7C8-440D-4043-9BB8-EB06B75034D3}</author>
  </authors>
  <commentList>
    <comment ref="G10" authorId="0" shapeId="0" xr:uid="{C547A7C8-440D-4043-9BB8-EB06B75034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promedio 2020
https://www.bcrp.gob.pe/docs/Estadisticas/Cuadros-Estadisticos/cuadro-037.xlsx</t>
      </text>
    </comment>
  </commentList>
</comments>
</file>

<file path=xl/sharedStrings.xml><?xml version="1.0" encoding="utf-8"?>
<sst xmlns="http://schemas.openxmlformats.org/spreadsheetml/2006/main" count="900" uniqueCount="310">
  <si>
    <t>Return on bond</t>
  </si>
  <si>
    <t>T.Bond rate</t>
  </si>
  <si>
    <t>Year</t>
  </si>
  <si>
    <t>The return on the 10-year bond for 1928 = 3.17% (Coupon rate promised at the end of 1927) - Price change on a bond with a coupon rate of 3.17%, when the interest rate goes to 3.45%.</t>
    <phoneticPr fontId="0" type="noConversion"/>
  </si>
  <si>
    <t>Computation</t>
    <phoneticPr fontId="0" type="noConversion"/>
  </si>
  <si>
    <t>Federal Reserve of St. Louis (FRED)</t>
  </si>
  <si>
    <t>Source:</t>
    <phoneticPr fontId="0" type="noConversion"/>
  </si>
  <si>
    <t>US treasury 10-year bond at end of each year</t>
    <phoneticPr fontId="0" type="noConversion"/>
  </si>
  <si>
    <t xml:space="preserve">Bond used: </t>
    <phoneticPr fontId="0" type="noConversion"/>
  </si>
  <si>
    <t>To compute the return on a constant maturity bond, I add two components - the promised coupon at the start of the year and the price change due to interest rate changes.</t>
  </si>
  <si>
    <t>Año</t>
  </si>
  <si>
    <t>Interés del bono a 10 años</t>
  </si>
  <si>
    <t>n.a.</t>
  </si>
  <si>
    <t>Índice</t>
  </si>
  <si>
    <t>Rentabilidad del bono a 10 años</t>
  </si>
  <si>
    <t>S&amp;P 500</t>
  </si>
  <si>
    <t>Dividends</t>
  </si>
  <si>
    <t>Dividend Yield</t>
  </si>
  <si>
    <t>Aaa Bond Rate</t>
  </si>
  <si>
    <t xml:space="preserve">Return on Aaa </t>
  </si>
  <si>
    <t>Baa Bond Rate</t>
  </si>
  <si>
    <t xml:space="preserve">Return on Baa </t>
  </si>
  <si>
    <t>Returns on Real Estate</t>
  </si>
  <si>
    <t>Jan 1 notes</t>
  </si>
  <si>
    <t>Used indicated dividend</t>
  </si>
  <si>
    <t>Índice S&amp;P 500</t>
  </si>
  <si>
    <t>Índice Dividendos S&amp;P 500</t>
  </si>
  <si>
    <t>Rentabilidad S&amp;P 500</t>
  </si>
  <si>
    <t>Rentabilidad esperada del activo libre de riesgo</t>
  </si>
  <si>
    <t>Rentabilidad esperada del mercado</t>
  </si>
  <si>
    <t>Tasa libre de riesgo (T-Bond; 1928-2020)</t>
  </si>
  <si>
    <t>Rentabilidad del mercado (S&amp;P 500; 1928-2020)</t>
  </si>
  <si>
    <t>Prima por riesgo de mercado</t>
  </si>
  <si>
    <t>Prima esperada por riesgo de mercado</t>
  </si>
  <si>
    <t>Prima por riesgo país</t>
  </si>
  <si>
    <t xml:space="preserve">CUADRO 35   INDICADORES DE RIESGO PARA PAÍSES EMERGENTES: Indice de Bonos de Mercados Emergentes (EMBIG) 1/ 2/ 3/ </t>
  </si>
  <si>
    <t xml:space="preserve">                     RISK INDICATORS FOR EMERGING COUNTRIES: Emerging Market Bond Index (EMBIG)   1/    Stripped Spread     2/   (In basis points)       3/</t>
  </si>
  <si>
    <r>
      <t xml:space="preserve">Diferencial de rendimientos del índice de bonos de mercados emergentes (EMBIG) / </t>
    </r>
    <r>
      <rPr>
        <i/>
        <sz val="10"/>
        <rFont val="Arial"/>
        <family val="2"/>
      </rPr>
      <t>Emerging Market Bond Index (EMBIG) Stripped Spread</t>
    </r>
  </si>
  <si>
    <t>LATIN EMBIG Países Latinoamericanos / Latin Countries</t>
  </si>
  <si>
    <t>EMBIG Países Emergentes / Emerging Countries</t>
  </si>
  <si>
    <t xml:space="preserve">Perú  </t>
  </si>
  <si>
    <t>Argentina</t>
  </si>
  <si>
    <t>Brasil</t>
  </si>
  <si>
    <t>Chile</t>
  </si>
  <si>
    <t>Colombia</t>
  </si>
  <si>
    <t>Ecuador</t>
  </si>
  <si>
    <t>México</t>
  </si>
  <si>
    <t>Venezuela</t>
  </si>
  <si>
    <t>Ene.</t>
  </si>
  <si>
    <t>Jan.</t>
  </si>
  <si>
    <t>Feb.</t>
  </si>
  <si>
    <t>Mar.</t>
  </si>
  <si>
    <t>Abr.</t>
  </si>
  <si>
    <t>Apr.</t>
  </si>
  <si>
    <t>May.</t>
  </si>
  <si>
    <t>Jun.</t>
  </si>
  <si>
    <t>Jul.</t>
  </si>
  <si>
    <t>Ago.</t>
  </si>
  <si>
    <t>Aug.</t>
  </si>
  <si>
    <t>Set.</t>
  </si>
  <si>
    <t>Sep.</t>
  </si>
  <si>
    <t>Oct.</t>
  </si>
  <si>
    <t>Nov.</t>
  </si>
  <si>
    <t>Dic.</t>
  </si>
  <si>
    <t>Dec.</t>
  </si>
  <si>
    <t>Nota: Var.</t>
  </si>
  <si>
    <t>Note: bp chg.</t>
  </si>
  <si>
    <t>Anual</t>
  </si>
  <si>
    <t>Year-to-Year</t>
  </si>
  <si>
    <t>Acumulado</t>
  </si>
  <si>
    <t>Cumulative</t>
  </si>
  <si>
    <t>Mensual</t>
  </si>
  <si>
    <t>Monthly</t>
  </si>
  <si>
    <t>2/ Índice elaborado por el J.P. Morgan que refleja los retornos del portafolio de deuda según sea el caso, es decir, de cada país, de los países latinoamericanos y de los países</t>
  </si>
  <si>
    <t xml:space="preserve">     emergentes en  conjunto. Considera como deuda, eurobonos, bonos Brady y en menor medida deudas locales y préstamos. Estos indicadores son promedio para cada período y su </t>
  </si>
  <si>
    <t xml:space="preserve">     disminución se asocia con una reducción del riesgo país percibido por los inversionistas. Se mide en puntos básicos y corresponde al diferencial de rendimientos con respecto al </t>
  </si>
  <si>
    <t xml:space="preserve">     bono del Tesoro de EUA de similar duración de la deuda en cuestión.</t>
  </si>
  <si>
    <t>3/ Cien puntos básicos equivalen a uno porcentual.</t>
  </si>
  <si>
    <t xml:space="preserve"> </t>
  </si>
  <si>
    <t xml:space="preserve"> Fuente: Reuters.</t>
  </si>
  <si>
    <t xml:space="preserve"> Elaboración: Gerencia Central de Estudios Económicos.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</si>
  <si>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</si>
  <si>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</si>
  <si>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</si>
  <si>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</si>
  <si>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</si>
  <si>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</si>
  <si>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</si>
  <si>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</si>
  <si>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</si>
  <si>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</si>
  <si>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</si>
  <si>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</si>
  <si>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</si>
  <si>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Indice de Bonos de Mercados Emergentes (EMBIG) Perú</t>
  </si>
  <si>
    <t>EMBIG Perú (2019-2020)</t>
  </si>
  <si>
    <t>Fuente</t>
  </si>
  <si>
    <t>Apalancamiento [D/E]</t>
  </si>
  <si>
    <t>Tipo impositivo efectivo</t>
  </si>
  <si>
    <t>Tipo del impuesto a la renta</t>
  </si>
  <si>
    <t>ESF_02-2021</t>
  </si>
  <si>
    <t>Pasivo no corriente</t>
  </si>
  <si>
    <t>Patrimonio</t>
  </si>
  <si>
    <t>Ratio Deuda Capital Propio</t>
  </si>
  <si>
    <t>--</t>
  </si>
  <si>
    <t>ESF_02-2022 y estructura de financiamiento</t>
  </si>
  <si>
    <t>Flujo de Fondos 31.12.2020 - REVISADO</t>
  </si>
  <si>
    <t>FONDO NACIONAL DE FINANCIAMIENTO DE LA</t>
  </si>
  <si>
    <t>FORMATO 2P</t>
  </si>
  <si>
    <t>ACTIVIDAD EMPRESARIAL DEL ESTADO</t>
  </si>
  <si>
    <t>CORPORACION PERUANA DE AEROPUERTOS Y AVIACION COMERCIAL S.A.</t>
  </si>
  <si>
    <t>FONAFE</t>
  </si>
  <si>
    <t>PRESUPUESTO EJERCICIO 2021</t>
  </si>
  <si>
    <t>ESTADO DE SITUACION FINANCIERA   (para Empresas no Financieras)</t>
  </si>
  <si>
    <t>En Soles</t>
  </si>
  <si>
    <t>RUBROS</t>
  </si>
  <si>
    <t>Al 31/12/2018</t>
  </si>
  <si>
    <t>Al 31/12/2019</t>
  </si>
  <si>
    <t>Al 31/12/2020</t>
  </si>
  <si>
    <t>PROYECCIÓN AÑO 2021</t>
  </si>
  <si>
    <t>Al 31/12/2022</t>
  </si>
  <si>
    <t>Al 31/12/2023</t>
  </si>
  <si>
    <t>Al 31/12/2024</t>
  </si>
  <si>
    <t>(REAL)</t>
  </si>
  <si>
    <t>(PROYECTO)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</si>
  <si>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</si>
  <si>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</si>
  <si>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</si>
  <si>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</si>
  <si>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</si>
  <si>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</si>
  <si>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</si>
  <si>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</si>
  <si>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</si>
  <si>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</si>
  <si>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</si>
  <si>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</si>
  <si>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(PROYECTADO)</t>
  </si>
  <si>
    <t>ACTIVO</t>
  </si>
  <si>
    <t>ACTIVO CORRIENTE</t>
  </si>
  <si>
    <t>Efectivo y Equivalentes al Efectivo</t>
  </si>
  <si>
    <t>Inversiones Financieras</t>
  </si>
  <si>
    <t>Cuentas por Cobrar Comerciales (Neto)</t>
  </si>
  <si>
    <t>Otras Cuentas por Cobrar (Neto)</t>
  </si>
  <si>
    <t>Cuentas por Cobrar a Entidades Relacionadas</t>
  </si>
  <si>
    <t>Inventarios (Neto)</t>
  </si>
  <si>
    <t>Activos Biológicos</t>
  </si>
  <si>
    <t>Activos No Corrientes Mantenidos para la Venta</t>
  </si>
  <si>
    <t>Activos por Impuestos a las Ganancias</t>
  </si>
  <si>
    <t>Gastos Pagados por Anticipado</t>
  </si>
  <si>
    <t>Otros Activos</t>
  </si>
  <si>
    <t>TOTAL ACTIVO CORRIENTE</t>
  </si>
  <si>
    <t>ACTIVO NO CORRIENTE</t>
  </si>
  <si>
    <t>Cuentas por Cobrar Comerciales</t>
  </si>
  <si>
    <t>Otras Cuentas por Cobrar</t>
  </si>
  <si>
    <t>Inversiones Mobiliarias (Neto)</t>
  </si>
  <si>
    <t>Propiedades de Inversión</t>
  </si>
  <si>
    <t>Propiedades, Planta y Equipo (Neto)</t>
  </si>
  <si>
    <t xml:space="preserve"> Activos Intangibles (Neto)</t>
  </si>
  <si>
    <t>Activos por Impuestos a las Ganancias Diferidos</t>
  </si>
  <si>
    <t>TOTAL ACTIVO NO CORRIENTE</t>
  </si>
  <si>
    <t>TOTAL  ACTIVO</t>
  </si>
  <si>
    <t>Cuentas de Orden</t>
  </si>
  <si>
    <t>PASIVO Y PATRIMONIO</t>
  </si>
  <si>
    <t>PASIVO CORRIENTE</t>
  </si>
  <si>
    <t>Sobregiro Bancarios</t>
  </si>
  <si>
    <t>Obligaciones Financieras</t>
  </si>
  <si>
    <t>Cuentas por Pagar Comerciales</t>
  </si>
  <si>
    <t>Otras Cuentas por Pagar</t>
  </si>
  <si>
    <t>Cuentas por Pagar a Entidades Relacionadas</t>
  </si>
  <si>
    <t>Provisiones</t>
  </si>
  <si>
    <t>Pasivos Mantenidos para la Venta</t>
  </si>
  <si>
    <t>Pasivos por Impuestos a las Ganancias</t>
  </si>
  <si>
    <t>Beneficios a los Empleados</t>
  </si>
  <si>
    <t>Otros Pasivos</t>
  </si>
  <si>
    <t>TOTAL PASIVO CORRIENTE</t>
  </si>
  <si>
    <t>PASIVO NO CORRIENTE</t>
  </si>
  <si>
    <t xml:space="preserve">Cuentas Pagar Comerciales </t>
  </si>
  <si>
    <t>Pasivo por Impuestos a las Ganancias Diferidos</t>
  </si>
  <si>
    <t>Ingresos Diferidos (Neto)</t>
  </si>
  <si>
    <t>TOTAL PASIVO NO CORRIENTE</t>
  </si>
  <si>
    <t>TOTAL  PASIVO</t>
  </si>
  <si>
    <t>PATRIMONIO</t>
  </si>
  <si>
    <t xml:space="preserve">Capital </t>
  </si>
  <si>
    <t>Acciones de Inversión</t>
  </si>
  <si>
    <t>Capital Adicional</t>
  </si>
  <si>
    <t>Resultado no Realizados</t>
  </si>
  <si>
    <t>Reservas Legales</t>
  </si>
  <si>
    <t>Otras Reservas</t>
  </si>
  <si>
    <t>Resultados Acumulados</t>
  </si>
  <si>
    <t>Otras Reservas de Patrimonio</t>
  </si>
  <si>
    <t>TOTAL  PATRIMONIO</t>
  </si>
  <si>
    <t>TOTAL  PASIVO Y PATRIMONIO</t>
  </si>
  <si>
    <t>D/E</t>
  </si>
  <si>
    <t>E</t>
  </si>
  <si>
    <t>D (corriente y no corriente)</t>
  </si>
  <si>
    <t>D (no corriente)</t>
  </si>
  <si>
    <t>(Dc+Dnc)/E</t>
  </si>
  <si>
    <t>Dnc/E</t>
  </si>
  <si>
    <t>promedio</t>
  </si>
  <si>
    <t>Pasivo corriente</t>
  </si>
  <si>
    <t xml:space="preserve"> [Dnc/E]</t>
  </si>
  <si>
    <t xml:space="preserve"> [Dc+Dnc/E]</t>
  </si>
  <si>
    <t xml:space="preserve"> [(Dc+Dnc)/(Dc+Dnc+E)]</t>
  </si>
  <si>
    <t xml:space="preserve"> [E/(Dc+Dnc+E)]</t>
  </si>
  <si>
    <t xml:space="preserve"> [Dnc/(Dnc+E)]</t>
  </si>
  <si>
    <t xml:space="preserve"> [E/(Dnc+E)]</t>
  </si>
  <si>
    <t>Costo de deuda</t>
  </si>
  <si>
    <t>Nota</t>
  </si>
  <si>
    <t>TASA DE INTERÉS PROMEDIO DEL SISTEMA BANCARIO</t>
  </si>
  <si>
    <t>Tasa Anual (%)</t>
  </si>
  <si>
    <t>BBVA</t>
  </si>
  <si>
    <t>Comercio</t>
  </si>
  <si>
    <t>Crédito</t>
  </si>
  <si>
    <t>Pichincha</t>
  </si>
  <si>
    <t>BIF</t>
  </si>
  <si>
    <t>Scotiabank</t>
  </si>
  <si>
    <t>Citibank</t>
  </si>
  <si>
    <t>Interbank</t>
  </si>
  <si>
    <t>Mibanco</t>
  </si>
  <si>
    <t>GNB</t>
  </si>
  <si>
    <t>Falabella</t>
  </si>
  <si>
    <t>Santander</t>
  </si>
  <si>
    <t>Ripley</t>
  </si>
  <si>
    <t>Azteca</t>
  </si>
  <si>
    <t>ICBC</t>
  </si>
  <si>
    <t>Bank of China</t>
  </si>
  <si>
    <t>Promedio</t>
  </si>
  <si>
    <t xml:space="preserve">         Corporativos</t>
  </si>
  <si>
    <t>-</t>
  </si>
  <si>
    <t>s.i.</t>
  </si>
  <si>
    <t xml:space="preserve">     Descuentos</t>
  </si>
  <si>
    <t xml:space="preserve">     Préstamos hasta 30 días</t>
  </si>
  <si>
    <t xml:space="preserve">     Préstamos de 31 a 90 días</t>
  </si>
  <si>
    <t xml:space="preserve">     Préstamos de 91 a 180 días</t>
  </si>
  <si>
    <t xml:space="preserve">     Préstamos de 181 a 360 días</t>
  </si>
  <si>
    <t xml:space="preserve">     Préstamos a más de 360 días</t>
  </si>
  <si>
    <t xml:space="preserve">         Grandes Empresas</t>
  </si>
  <si>
    <t xml:space="preserve">         Medianas Empresas</t>
  </si>
  <si>
    <t xml:space="preserve">         Pequeñas Empresas</t>
  </si>
  <si>
    <t xml:space="preserve">         Microempresas</t>
  </si>
  <si>
    <t xml:space="preserve">     Tarjetas de Crédito</t>
  </si>
  <si>
    <t xml:space="preserve">     Préstamos Revolventes</t>
  </si>
  <si>
    <t xml:space="preserve">     Préstamos a cuota fija hasta 30 días</t>
  </si>
  <si>
    <t xml:space="preserve">     Préstamos  a cuota fija de 31 a 90 días</t>
  </si>
  <si>
    <t xml:space="preserve">     Préstamos  a cuota fija de 91 a 180 días</t>
  </si>
  <si>
    <t xml:space="preserve">     Préstamos a cuota fija de 181 a 360 días</t>
  </si>
  <si>
    <t xml:space="preserve">     Préstamos a cuota fija a más de 360 días</t>
  </si>
  <si>
    <t xml:space="preserve">          Consumo</t>
  </si>
  <si>
    <t xml:space="preserve">     Préstamos no  Revolventes para automóviles</t>
  </si>
  <si>
    <t xml:space="preserve">     Préstamos no  Revolventes para libre disponibilidad hasta 360 días</t>
  </si>
  <si>
    <t xml:space="preserve">     Préstamos no  Revolventes para libre disponibilidad a más de 360 días</t>
  </si>
  <si>
    <t xml:space="preserve">     Créditos pignoraticios</t>
  </si>
  <si>
    <t xml:space="preserve">         Hipotecarios</t>
  </si>
  <si>
    <t xml:space="preserve">     Préstamos hipotecarios para vivienda</t>
  </si>
  <si>
    <t>Nota: Cuadro elaborado sobre la base de la información remitida diariamente por las Empresas Bancarias a través del Reporte N°6. Las tasas de interés tienen carácter referencial. Las definiciones de los tipos de crédito se encuentran en el Reglamento para la Evaluación y Clasificación del Deudor y la Exigencia de Provisiones, aprobado mediante Resolución SBS N° 11356-2008 (Ver definiciones).</t>
  </si>
  <si>
    <t>https://www.sbs.gob.pe/app/pp/EstadisticasSAEEPortal/Paginas/TIActivaTipoCreditoEmpresa.aspx?tip=B</t>
  </si>
  <si>
    <t>FuenteReporteTasaActiva BCRP</t>
  </si>
  <si>
    <t>Reporte BCRP</t>
  </si>
  <si>
    <t>Apalancamiento [D/D+E]</t>
  </si>
  <si>
    <t>Apalancamiento [E/D+E]</t>
  </si>
  <si>
    <t>Parámetros macroeconómicos</t>
  </si>
  <si>
    <t>PEN/USD</t>
  </si>
  <si>
    <t>Tipo de cambio real</t>
  </si>
  <si>
    <t>Tipo de cambio nominal</t>
  </si>
  <si>
    <t>Inflación  EE.UU.</t>
  </si>
  <si>
    <t>Inflación  Perú</t>
  </si>
  <si>
    <t>Ratio</t>
  </si>
  <si>
    <t>https://www.statista.com/statistics/244993/projected-consumer-price-index-in-the-united-states/#:~:text=In%202020%2C%20the%20annual%20Consumer,projected%20to%20be%202.44%20percent.&amp;text=According%20to%20data%20published%20by,period%20of%201982%20to%201984.</t>
  </si>
  <si>
    <t>Índice CPI</t>
  </si>
  <si>
    <t>USD/PEN</t>
  </si>
  <si>
    <t xml:space="preserve">Variacion </t>
  </si>
  <si>
    <t>Costo de la deuda nominal en dólares</t>
  </si>
  <si>
    <t>Participación de los trabajadores</t>
  </si>
  <si>
    <t>Tomado de http://www.stern.nyu.edu/~adamodar/pc/datasets/histretSP.xls  hoja T. Bond yield &amp; return el 210613</t>
  </si>
  <si>
    <t>Etiquetas de fila</t>
  </si>
  <si>
    <t>Promedio de UNLEVERED_BETA enav</t>
  </si>
  <si>
    <t>Cuenta de UNLEVERED_BETA enav2</t>
  </si>
  <si>
    <t>2019</t>
  </si>
  <si>
    <t>Trim.1</t>
  </si>
  <si>
    <t>Trim.2</t>
  </si>
  <si>
    <t>Trim.3</t>
  </si>
  <si>
    <t>Trim.4</t>
  </si>
  <si>
    <t>2020</t>
  </si>
  <si>
    <t>2021</t>
  </si>
  <si>
    <t>Total general</t>
  </si>
  <si>
    <t>Fecha inicial</t>
  </si>
  <si>
    <t>Fecha final</t>
  </si>
  <si>
    <t>ENAV IM Equity</t>
  </si>
  <si>
    <t>Unlevered Beta</t>
  </si>
  <si>
    <t>Beta de los activos de aeronavegación</t>
  </si>
  <si>
    <t>Jun 1-8</t>
  </si>
  <si>
    <t>1/ La información de este cuadro se ha actualizado en la Nota Semanal N° 22 (10 de junio de 2021). Corresponde a datos promedio del período.</t>
  </si>
  <si>
    <t>consultado 17/06/21</t>
  </si>
  <si>
    <t>MEF Informe de Actualizacion de Proyecciones Económicas IAPM_2021_2024</t>
  </si>
  <si>
    <t>5. CUADROS ESTADÍSTICOS</t>
  </si>
  <si>
    <t>pag 123</t>
  </si>
  <si>
    <t>https://www.mef.gob.pe/contenidos/pol_econ/marco_macro/IAPM_2021_2024.pdf</t>
  </si>
  <si>
    <t>Costo de capital para los servicios de navegacion aérea</t>
  </si>
  <si>
    <t>Tasas Activas Anuales de las Operaciones en Moneda Nacional Realizadas en los Últimos 30 Días Útiles Por Tipo de Crédito al 21/07/2021</t>
  </si>
  <si>
    <t>No hay ajuste por Variacion tipo de cambio nominal promedio 2021-2024 porque es un dato en soles</t>
  </si>
  <si>
    <t>Inflación esperada en soles</t>
  </si>
  <si>
    <t>Costo promedio ponderado de capital (WACC) soles reales</t>
  </si>
  <si>
    <t>Costo efectivo de la deuda en soles reales</t>
  </si>
  <si>
    <t>Costo de la deuda en soles</t>
  </si>
  <si>
    <t>Costo del capital propio en soles reales</t>
  </si>
  <si>
    <t>Costo del capital propio en dólares nominales</t>
  </si>
  <si>
    <t>Revalorización esperada del dólar</t>
  </si>
  <si>
    <t>Flujo de Fondos 31.12.2020 - REVISADO. Hoja: B. ESF Presup (P)</t>
  </si>
  <si>
    <t>Beta apalancado de Corpac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</si>
</sst>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??_ ;_ @_ "/>
    <numFmt numFmtId="165" formatCode="_(&quot;$&quot;* #,##0.00_);_(&quot;$&quot;* \(#,##0.00\);_(&quot;$&quot;* &quot;-&quot;??_);_(@_)"/>
    <numFmt numFmtId="166" formatCode="#,##0.000"/>
    <numFmt numFmtId="167" formatCode="0.000%"/>
    <numFmt numFmtId="168" formatCode="_ * #,##0.00_ ;_ * \-#,##0.00_ ;_ * &quot;-&quot;??_ ;_ @_ "/>
    <numFmt numFmtId="169" formatCode="#,##0.0000"/>
  </numFmts>
  <fonts count="52"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name val="Arial"/>
      <family val="2"/>
    </font>
    <font>
      <sz val="10"/>
      <color theme="1"/>
      <name val="Corbel"/>
      <family val="2"/>
    </font>
    <font>
      <b/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  <charset val="1"/>
    </font>
    <font>
      <sz val="12"/>
      <name val="Times"/>
      <family val="1"/>
    </font>
    <font>
      <sz val="10"/>
      <color rgb="FFFF0000"/>
      <name val="Geneva"/>
      <family val="2"/>
      <charset val="1"/>
    </font>
    <font>
      <sz val="10"/>
      <color rgb="FF008000"/>
      <name val="Geneva"/>
      <family val="2"/>
      <charset val="1"/>
    </font>
    <font>
      <i/>
      <sz val="12"/>
      <name val="Times"/>
      <family val="1"/>
    </font>
    <font>
      <u/>
      <sz val="11"/>
      <color theme="1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name val="Arial"/>
      <family val="2"/>
    </font>
    <font>
      <sz val="10"/>
      <name val="Calibri"/>
      <family val="2"/>
      <scheme val="minor"/>
    </font>
    <font>
      <sz val="10"/>
      <name val="Times"/>
      <family val="1"/>
    </font>
    <font>
      <sz val="12"/>
      <color theme="1"/>
      <name val="Times"/>
      <family val="1"/>
    </font>
    <font>
      <sz val="10"/>
      <color theme="1"/>
      <name val="Geneva"/>
      <family val="2"/>
      <charset val="1"/>
    </font>
    <font>
      <sz val="8"/>
      <name val="Calibri"/>
      <family val="2"/>
      <scheme val="minor"/>
    </font>
    <font>
      <u/>
      <sz val="10"/>
      <color indexed="12"/>
      <name val="Geneva"/>
      <family val="2"/>
      <charset val="1"/>
    </font>
    <font>
      <sz val="10"/>
      <name val="Calibri"/>
      <family val="2"/>
    </font>
    <font>
      <b/>
      <sz val="10"/>
      <name val="Calibri"/>
      <family val="2"/>
    </font>
    <font>
      <b/>
      <sz val="12"/>
      <name val="Arial Narrow"/>
      <family val="2"/>
    </font>
    <font>
      <sz val="12"/>
      <name val="Arial"/>
      <family val="2"/>
    </font>
    <font>
      <b/>
      <i/>
      <sz val="12"/>
      <name val="Arial Narrow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1"/>
      <color theme="4" tint="-0.249977111117893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b/>
      <sz val="8"/>
      <color indexed="10"/>
      <name val="Arial"/>
      <family val="2"/>
    </font>
    <font>
      <sz val="10"/>
      <color indexed="10"/>
      <name val="Arial"/>
      <family val="2"/>
    </font>
    <font>
      <b/>
      <sz val="10"/>
      <name val="Calibri"/>
      <family val="2"/>
      <scheme val="minor"/>
    </font>
    <font>
      <b/>
      <sz val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70C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6"/>
      <color theme="1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2060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9"/>
      <color theme="4" tint="0.39997558519241921"/>
      <name val="Calibri"/>
      <family val="2"/>
      <scheme val="minor"/>
    </font>
    <font>
      <sz val="9"/>
      <color rgb="FF92D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9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4">
    <xf numFmtId="0" fontId="0" fillId="0" borderId="0"/>
    <xf numFmtId="0" fontId="3" fillId="0" borderId="0"/>
    <xf numFmtId="0" fontId="4" fillId="0" borderId="0"/>
    <xf numFmtId="9" fontId="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0" fillId="0" borderId="0" applyBorder="0"/>
    <xf numFmtId="0" fontId="44" fillId="8" borderId="0"/>
  </cellStyleXfs>
  <cellXfs count="232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right" vertical="center"/>
    </xf>
    <xf numFmtId="0" fontId="2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 vertical="center"/>
    </xf>
    <xf numFmtId="3" fontId="0" fillId="2" borderId="0" xfId="0" applyNumberFormat="1" applyFill="1" applyBorder="1"/>
    <xf numFmtId="3" fontId="0" fillId="2" borderId="0" xfId="0" applyNumberForma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164" fontId="0" fillId="2" borderId="0" xfId="0" applyNumberForma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>
      <alignment horizontal="right" vertical="center"/>
    </xf>
    <xf numFmtId="0" fontId="1" fillId="3" borderId="0" xfId="0" applyFont="1" applyFill="1" applyAlignment="1">
      <alignment horizontal="left" vertical="center" indent="1"/>
    </xf>
    <xf numFmtId="0" fontId="7" fillId="0" borderId="0" xfId="4"/>
    <xf numFmtId="0" fontId="7" fillId="0" borderId="0" xfId="4" applyAlignment="1">
      <alignment horizontal="center"/>
    </xf>
    <xf numFmtId="10" fontId="8" fillId="0" borderId="1" xfId="5" applyNumberFormat="1" applyFont="1" applyFill="1" applyBorder="1" applyAlignment="1">
      <alignment horizontal="center"/>
    </xf>
    <xf numFmtId="10" fontId="7" fillId="0" borderId="0" xfId="4" applyNumberFormat="1" applyAlignment="1">
      <alignment horizontal="center"/>
    </xf>
    <xf numFmtId="0" fontId="8" fillId="0" borderId="2" xfId="4" applyFont="1" applyBorder="1" applyAlignment="1">
      <alignment horizontal="center"/>
    </xf>
    <xf numFmtId="10" fontId="9" fillId="0" borderId="1" xfId="4" applyNumberFormat="1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10" fontId="7" fillId="0" borderId="1" xfId="4" applyNumberFormat="1" applyBorder="1" applyAlignment="1">
      <alignment horizontal="center"/>
    </xf>
    <xf numFmtId="10" fontId="10" fillId="0" borderId="1" xfId="4" applyNumberFormat="1" applyFont="1" applyBorder="1" applyAlignment="1">
      <alignment horizontal="center"/>
    </xf>
    <xf numFmtId="10" fontId="8" fillId="0" borderId="1" xfId="5" applyNumberFormat="1" applyFont="1" applyBorder="1" applyAlignment="1">
      <alignment horizontal="center"/>
    </xf>
    <xf numFmtId="10" fontId="8" fillId="0" borderId="1" xfId="4" applyNumberFormat="1" applyFont="1" applyBorder="1" applyAlignment="1">
      <alignment horizontal="center"/>
    </xf>
    <xf numFmtId="0" fontId="11" fillId="0" borderId="1" xfId="4" applyFont="1" applyBorder="1" applyAlignment="1">
      <alignment horizontal="center"/>
    </xf>
    <xf numFmtId="0" fontId="8" fillId="0" borderId="0" xfId="4" applyFont="1"/>
    <xf numFmtId="0" fontId="8" fillId="0" borderId="0" xfId="4" applyFont="1" applyAlignment="1">
      <alignment horizontal="center"/>
    </xf>
    <xf numFmtId="0" fontId="8" fillId="0" borderId="0" xfId="4" applyFont="1" applyAlignment="1">
      <alignment horizontal="left"/>
    </xf>
    <xf numFmtId="0" fontId="7" fillId="0" borderId="0" xfId="4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indent="1"/>
    </xf>
    <xf numFmtId="0" fontId="0" fillId="0" borderId="0" xfId="0" applyFill="1" applyBorder="1"/>
    <xf numFmtId="3" fontId="12" fillId="2" borderId="0" xfId="6" applyNumberFormat="1" applyFill="1" applyBorder="1" applyAlignment="1">
      <alignment horizontal="right" vertical="center"/>
    </xf>
    <xf numFmtId="10" fontId="5" fillId="2" borderId="0" xfId="3" applyNumberFormat="1" applyFont="1" applyFill="1" applyBorder="1" applyAlignment="1">
      <alignment horizontal="right" vertical="center"/>
    </xf>
    <xf numFmtId="164" fontId="13" fillId="0" borderId="3" xfId="0" applyNumberFormat="1" applyFont="1" applyBorder="1" applyAlignment="1">
      <alignment horizontal="center" vertical="center"/>
    </xf>
    <xf numFmtId="10" fontId="14" fillId="2" borderId="4" xfId="0" applyNumberFormat="1" applyFont="1" applyFill="1" applyBorder="1"/>
    <xf numFmtId="0" fontId="15" fillId="2" borderId="0" xfId="0" applyFont="1" applyFill="1" applyBorder="1" applyAlignment="1">
      <alignment horizontal="right"/>
    </xf>
    <xf numFmtId="0" fontId="14" fillId="2" borderId="0" xfId="0" applyFont="1" applyFill="1" applyBorder="1"/>
    <xf numFmtId="0" fontId="17" fillId="0" borderId="0" xfId="6" applyFont="1" applyAlignment="1">
      <alignment horizontal="center" vertical="center" wrapText="1"/>
    </xf>
    <xf numFmtId="10" fontId="17" fillId="0" borderId="0" xfId="3" applyNumberFormat="1" applyFont="1" applyAlignment="1">
      <alignment horizontal="right" vertical="center" wrapText="1"/>
    </xf>
    <xf numFmtId="0" fontId="17" fillId="0" borderId="0" xfId="6" applyFont="1" applyAlignment="1">
      <alignment horizontal="right" vertical="center" wrapText="1"/>
    </xf>
    <xf numFmtId="10" fontId="17" fillId="0" borderId="0" xfId="6" applyNumberFormat="1" applyFont="1" applyAlignment="1">
      <alignment horizontal="right" vertical="center" wrapText="1"/>
    </xf>
    <xf numFmtId="10" fontId="17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8" fillId="0" borderId="6" xfId="4" applyFont="1" applyBorder="1" applyAlignment="1">
      <alignment horizontal="center"/>
    </xf>
    <xf numFmtId="2" fontId="8" fillId="0" borderId="1" xfId="4" applyNumberFormat="1" applyFont="1" applyBorder="1" applyAlignment="1">
      <alignment horizontal="center"/>
    </xf>
    <xf numFmtId="10" fontId="8" fillId="0" borderId="0" xfId="4" applyNumberFormat="1" applyFont="1" applyAlignment="1">
      <alignment horizontal="center"/>
    </xf>
    <xf numFmtId="10" fontId="0" fillId="0" borderId="0" xfId="5" applyNumberFormat="1" applyFont="1"/>
    <xf numFmtId="10" fontId="8" fillId="0" borderId="7" xfId="5" applyNumberFormat="1" applyFont="1" applyBorder="1" applyAlignment="1">
      <alignment horizontal="center"/>
    </xf>
    <xf numFmtId="10" fontId="0" fillId="0" borderId="0" xfId="5" applyNumberFormat="1" applyFont="1" applyAlignment="1">
      <alignment horizontal="center"/>
    </xf>
    <xf numFmtId="10" fontId="8" fillId="0" borderId="0" xfId="5" applyNumberFormat="1" applyFont="1" applyBorder="1" applyAlignment="1">
      <alignment horizontal="center"/>
    </xf>
    <xf numFmtId="10" fontId="0" fillId="0" borderId="1" xfId="5" applyNumberFormat="1" applyFont="1" applyBorder="1" applyAlignment="1">
      <alignment horizontal="center"/>
    </xf>
    <xf numFmtId="0" fontId="18" fillId="0" borderId="0" xfId="4" applyFont="1" applyAlignment="1">
      <alignment horizontal="center"/>
    </xf>
    <xf numFmtId="0" fontId="7" fillId="0" borderId="1" xfId="4" applyBorder="1" applyAlignment="1">
      <alignment horizontal="center"/>
    </xf>
    <xf numFmtId="10" fontId="8" fillId="0" borderId="0" xfId="5" applyNumberFormat="1" applyFont="1" applyFill="1" applyBorder="1" applyAlignment="1">
      <alignment horizontal="center"/>
    </xf>
    <xf numFmtId="0" fontId="8" fillId="2" borderId="1" xfId="4" applyFont="1" applyFill="1" applyBorder="1" applyAlignment="1">
      <alignment horizontal="center"/>
    </xf>
    <xf numFmtId="0" fontId="7" fillId="2" borderId="1" xfId="4" applyFill="1" applyBorder="1" applyAlignment="1">
      <alignment horizontal="center"/>
    </xf>
    <xf numFmtId="2" fontId="19" fillId="0" borderId="1" xfId="4" applyNumberFormat="1" applyFont="1" applyBorder="1" applyAlignment="1">
      <alignment horizontal="center"/>
    </xf>
    <xf numFmtId="0" fontId="20" fillId="0" borderId="0" xfId="4" applyFont="1" applyAlignment="1">
      <alignment horizontal="center"/>
    </xf>
    <xf numFmtId="10" fontId="7" fillId="0" borderId="0" xfId="4" applyNumberFormat="1"/>
    <xf numFmtId="2" fontId="17" fillId="0" borderId="0" xfId="3" applyNumberFormat="1" applyFont="1" applyAlignment="1">
      <alignment horizontal="right" vertical="center" wrapText="1"/>
    </xf>
    <xf numFmtId="10" fontId="17" fillId="0" borderId="0" xfId="6" applyNumberFormat="1" applyFont="1" applyFill="1" applyBorder="1" applyAlignment="1">
      <alignment horizontal="right" vertical="center" wrapText="1"/>
    </xf>
    <xf numFmtId="0" fontId="23" fillId="2" borderId="0" xfId="0" applyFont="1" applyFill="1" applyBorder="1"/>
    <xf numFmtId="3" fontId="23" fillId="2" borderId="0" xfId="0" applyNumberFormat="1" applyFont="1" applyFill="1" applyBorder="1"/>
    <xf numFmtId="0" fontId="24" fillId="2" borderId="0" xfId="0" applyFont="1" applyFill="1" applyBorder="1" applyAlignment="1">
      <alignment horizontal="right" vertical="center"/>
    </xf>
    <xf numFmtId="164" fontId="13" fillId="0" borderId="3" xfId="0" applyNumberFormat="1" applyFont="1" applyBorder="1" applyAlignment="1">
      <alignment horizontal="left" vertical="center"/>
    </xf>
    <xf numFmtId="0" fontId="3" fillId="0" borderId="0" xfId="1"/>
    <xf numFmtId="0" fontId="3" fillId="0" borderId="0" xfId="1" applyAlignment="1">
      <alignment horizontal="center" vertical="center"/>
    </xf>
    <xf numFmtId="0" fontId="25" fillId="0" borderId="0" xfId="1" applyFont="1" applyAlignment="1">
      <alignment horizontal="left" indent="1"/>
    </xf>
    <xf numFmtId="0" fontId="26" fillId="0" borderId="0" xfId="1" applyFont="1"/>
    <xf numFmtId="0" fontId="16" fillId="0" borderId="0" xfId="1" applyFont="1"/>
    <xf numFmtId="0" fontId="27" fillId="0" borderId="0" xfId="1" applyFont="1" applyAlignment="1">
      <alignment horizontal="left" indent="1"/>
    </xf>
    <xf numFmtId="0" fontId="3" fillId="0" borderId="2" xfId="1" applyBorder="1" applyAlignment="1">
      <alignment horizontal="center"/>
    </xf>
    <xf numFmtId="0" fontId="3" fillId="0" borderId="16" xfId="1" applyBorder="1"/>
    <xf numFmtId="0" fontId="3" fillId="0" borderId="15" xfId="1" applyBorder="1"/>
    <xf numFmtId="0" fontId="3" fillId="0" borderId="2" xfId="1" applyBorder="1" applyAlignment="1">
      <alignment horizontal="center" vertical="center"/>
    </xf>
    <xf numFmtId="1" fontId="3" fillId="0" borderId="2" xfId="1" applyNumberFormat="1" applyBorder="1" applyAlignment="1">
      <alignment horizontal="center" vertical="center"/>
    </xf>
    <xf numFmtId="0" fontId="29" fillId="0" borderId="2" xfId="1" applyFont="1" applyBorder="1" applyAlignment="1">
      <alignment horizontal="center" vertical="center"/>
    </xf>
    <xf numFmtId="1" fontId="29" fillId="0" borderId="2" xfId="1" applyNumberFormat="1" applyFont="1" applyBorder="1" applyAlignment="1">
      <alignment horizontal="center" vertical="center"/>
    </xf>
    <xf numFmtId="0" fontId="3" fillId="0" borderId="15" xfId="1" applyBorder="1" applyAlignment="1">
      <alignment horizontal="center" vertical="center"/>
    </xf>
    <xf numFmtId="1" fontId="3" fillId="0" borderId="15" xfId="1" applyNumberFormat="1" applyBorder="1" applyAlignment="1">
      <alignment horizontal="center" vertical="center"/>
    </xf>
    <xf numFmtId="3" fontId="3" fillId="0" borderId="2" xfId="1" applyNumberFormat="1" applyBorder="1" applyAlignment="1">
      <alignment horizontal="center" vertical="center"/>
    </xf>
    <xf numFmtId="3" fontId="3" fillId="0" borderId="15" xfId="1" applyNumberFormat="1" applyBorder="1" applyAlignment="1">
      <alignment horizontal="center" vertical="center"/>
    </xf>
    <xf numFmtId="10" fontId="17" fillId="0" borderId="0" xfId="3" applyNumberFormat="1" applyFont="1" applyAlignment="1">
      <alignment horizontal="left" wrapText="1"/>
    </xf>
    <xf numFmtId="164" fontId="13" fillId="0" borderId="17" xfId="0" applyNumberFormat="1" applyFont="1" applyBorder="1" applyAlignment="1">
      <alignment horizontal="center" vertical="center"/>
    </xf>
    <xf numFmtId="0" fontId="17" fillId="4" borderId="17" xfId="6" applyFont="1" applyFill="1" applyBorder="1" applyAlignment="1">
      <alignment horizontal="center" vertical="center" wrapText="1"/>
    </xf>
    <xf numFmtId="10" fontId="17" fillId="4" borderId="17" xfId="3" applyNumberFormat="1" applyFont="1" applyFill="1" applyBorder="1" applyAlignment="1">
      <alignment horizontal="left" wrapText="1"/>
    </xf>
    <xf numFmtId="0" fontId="17" fillId="4" borderId="0" xfId="6" applyFont="1" applyFill="1" applyAlignment="1">
      <alignment horizontal="center" vertical="center" wrapText="1"/>
    </xf>
    <xf numFmtId="10" fontId="17" fillId="4" borderId="0" xfId="3" applyNumberFormat="1" applyFont="1" applyFill="1" applyAlignment="1">
      <alignment horizontal="left" wrapText="1"/>
    </xf>
    <xf numFmtId="1" fontId="17" fillId="4" borderId="0" xfId="3" applyNumberFormat="1" applyFont="1" applyFill="1" applyBorder="1" applyAlignment="1">
      <alignment horizontal="right" wrapText="1"/>
    </xf>
    <xf numFmtId="1" fontId="17" fillId="0" borderId="0" xfId="3" applyNumberFormat="1" applyFont="1" applyBorder="1" applyAlignment="1">
      <alignment horizontal="right" wrapText="1"/>
    </xf>
    <xf numFmtId="3" fontId="0" fillId="2" borderId="0" xfId="0" applyNumberFormat="1" applyFill="1"/>
    <xf numFmtId="10" fontId="14" fillId="2" borderId="4" xfId="3" applyNumberFormat="1" applyFont="1" applyFill="1" applyBorder="1"/>
    <xf numFmtId="0" fontId="2" fillId="2" borderId="17" xfId="0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left" vertical="center" indent="1"/>
    </xf>
    <xf numFmtId="3" fontId="30" fillId="2" borderId="18" xfId="0" applyNumberFormat="1" applyFont="1" applyFill="1" applyBorder="1" applyAlignment="1">
      <alignment horizontal="right"/>
    </xf>
    <xf numFmtId="0" fontId="0" fillId="2" borderId="0" xfId="0" applyFill="1"/>
    <xf numFmtId="0" fontId="31" fillId="0" borderId="0" xfId="9" applyFont="1" applyAlignment="1">
      <alignment vertical="center"/>
    </xf>
    <xf numFmtId="0" fontId="32" fillId="0" borderId="0" xfId="9" applyFont="1" applyAlignment="1">
      <alignment horizontal="center" vertical="center"/>
    </xf>
    <xf numFmtId="0" fontId="3" fillId="0" borderId="0" xfId="9" applyAlignment="1">
      <alignment vertical="center"/>
    </xf>
    <xf numFmtId="0" fontId="33" fillId="0" borderId="0" xfId="9" quotePrefix="1" applyFont="1" applyAlignment="1">
      <alignment horizontal="right" vertical="center"/>
    </xf>
    <xf numFmtId="0" fontId="33" fillId="0" borderId="0" xfId="9" applyFont="1" applyAlignment="1">
      <alignment vertical="center"/>
    </xf>
    <xf numFmtId="0" fontId="34" fillId="0" borderId="0" xfId="9" applyFont="1" applyAlignment="1">
      <alignment vertical="center"/>
    </xf>
    <xf numFmtId="0" fontId="35" fillId="0" borderId="0" xfId="9" applyFont="1" applyAlignment="1">
      <alignment vertical="center"/>
    </xf>
    <xf numFmtId="0" fontId="36" fillId="0" borderId="0" xfId="9" applyFont="1" applyAlignment="1">
      <alignment vertical="center"/>
    </xf>
    <xf numFmtId="0" fontId="37" fillId="0" borderId="0" xfId="9" applyFont="1" applyAlignment="1">
      <alignment vertical="center"/>
    </xf>
    <xf numFmtId="0" fontId="3" fillId="5" borderId="0" xfId="9" applyFill="1" applyAlignment="1">
      <alignment vertical="center"/>
    </xf>
    <xf numFmtId="0" fontId="38" fillId="0" borderId="0" xfId="9" applyFont="1" applyAlignment="1">
      <alignment vertical="center"/>
    </xf>
    <xf numFmtId="0" fontId="31" fillId="0" borderId="6" xfId="9" applyFont="1" applyBorder="1" applyAlignment="1">
      <alignment vertical="center"/>
    </xf>
    <xf numFmtId="3" fontId="31" fillId="6" borderId="16" xfId="9" applyNumberFormat="1" applyFont="1" applyFill="1" applyBorder="1" applyAlignment="1">
      <alignment horizontal="center" vertical="center"/>
    </xf>
    <xf numFmtId="0" fontId="31" fillId="6" borderId="16" xfId="9" applyFont="1" applyFill="1" applyBorder="1" applyAlignment="1">
      <alignment horizontal="center" vertical="center"/>
    </xf>
    <xf numFmtId="0" fontId="31" fillId="6" borderId="10" xfId="9" applyFont="1" applyFill="1" applyBorder="1" applyAlignment="1">
      <alignment horizontal="center" vertical="center"/>
    </xf>
    <xf numFmtId="0" fontId="31" fillId="6" borderId="16" xfId="9" applyFont="1" applyFill="1" applyBorder="1" applyAlignment="1">
      <alignment horizontal="centerContinuous" vertical="center"/>
    </xf>
    <xf numFmtId="3" fontId="31" fillId="6" borderId="15" xfId="9" applyNumberFormat="1" applyFont="1" applyFill="1" applyBorder="1" applyAlignment="1">
      <alignment horizontal="left" vertical="center"/>
    </xf>
    <xf numFmtId="0" fontId="31" fillId="6" borderId="15" xfId="9" applyFont="1" applyFill="1" applyBorder="1" applyAlignment="1">
      <alignment horizontal="center"/>
    </xf>
    <xf numFmtId="0" fontId="31" fillId="6" borderId="13" xfId="9" applyFont="1" applyFill="1" applyBorder="1" applyAlignment="1">
      <alignment horizontal="center"/>
    </xf>
    <xf numFmtId="0" fontId="31" fillId="6" borderId="13" xfId="9" applyFont="1" applyFill="1" applyBorder="1" applyAlignment="1">
      <alignment horizontal="center" vertical="center"/>
    </xf>
    <xf numFmtId="0" fontId="31" fillId="6" borderId="13" xfId="9" quotePrefix="1" applyFont="1" applyFill="1" applyBorder="1" applyAlignment="1">
      <alignment horizontal="center" vertical="center"/>
    </xf>
    <xf numFmtId="0" fontId="31" fillId="6" borderId="15" xfId="9" applyFont="1" applyFill="1" applyBorder="1" applyAlignment="1">
      <alignment horizontal="center" vertical="center"/>
    </xf>
    <xf numFmtId="0" fontId="39" fillId="0" borderId="16" xfId="10" applyFont="1" applyBorder="1" applyAlignment="1">
      <alignment vertical="center"/>
    </xf>
    <xf numFmtId="3" fontId="39" fillId="0" borderId="16" xfId="10" applyNumberFormat="1" applyFont="1" applyBorder="1" applyAlignment="1">
      <alignment vertical="center"/>
    </xf>
    <xf numFmtId="0" fontId="39" fillId="0" borderId="2" xfId="10" applyFont="1" applyBorder="1" applyAlignment="1">
      <alignment vertical="center"/>
    </xf>
    <xf numFmtId="3" fontId="39" fillId="0" borderId="2" xfId="10" applyNumberFormat="1" applyFont="1" applyBorder="1" applyAlignment="1">
      <alignment vertical="center"/>
    </xf>
    <xf numFmtId="0" fontId="31" fillId="0" borderId="2" xfId="10" applyFont="1" applyBorder="1" applyAlignment="1">
      <alignment vertical="center"/>
    </xf>
    <xf numFmtId="3" fontId="31" fillId="0" borderId="2" xfId="10" applyNumberFormat="1" applyFont="1" applyBorder="1" applyAlignment="1">
      <alignment vertical="center"/>
    </xf>
    <xf numFmtId="3" fontId="3" fillId="0" borderId="0" xfId="9" applyNumberFormat="1" applyAlignment="1">
      <alignment vertical="center"/>
    </xf>
    <xf numFmtId="0" fontId="39" fillId="6" borderId="1" xfId="10" applyFont="1" applyFill="1" applyBorder="1" applyAlignment="1">
      <alignment vertical="center"/>
    </xf>
    <xf numFmtId="3" fontId="39" fillId="6" borderId="1" xfId="10" applyNumberFormat="1" applyFont="1" applyFill="1" applyBorder="1" applyAlignment="1">
      <alignment vertical="center"/>
    </xf>
    <xf numFmtId="0" fontId="31" fillId="2" borderId="2" xfId="10" applyFont="1" applyFill="1" applyBorder="1" applyAlignment="1">
      <alignment vertical="center"/>
    </xf>
    <xf numFmtId="3" fontId="31" fillId="2" borderId="2" xfId="10" applyNumberFormat="1" applyFont="1" applyFill="1" applyBorder="1" applyAlignment="1">
      <alignment vertical="center"/>
    </xf>
    <xf numFmtId="0" fontId="39" fillId="7" borderId="1" xfId="10" applyFont="1" applyFill="1" applyBorder="1" applyAlignment="1">
      <alignment vertical="center"/>
    </xf>
    <xf numFmtId="3" fontId="39" fillId="7" borderId="1" xfId="10" applyNumberFormat="1" applyFont="1" applyFill="1" applyBorder="1" applyAlignment="1">
      <alignment vertical="center"/>
    </xf>
    <xf numFmtId="0" fontId="31" fillId="0" borderId="1" xfId="10" applyFont="1" applyBorder="1" applyAlignment="1">
      <alignment vertical="center"/>
    </xf>
    <xf numFmtId="3" fontId="31" fillId="0" borderId="1" xfId="10" applyNumberFormat="1" applyFont="1" applyBorder="1" applyAlignment="1">
      <alignment vertical="center"/>
    </xf>
    <xf numFmtId="3" fontId="31" fillId="0" borderId="2" xfId="11" applyNumberFormat="1" applyFont="1" applyBorder="1"/>
    <xf numFmtId="3" fontId="39" fillId="0" borderId="15" xfId="11" applyNumberFormat="1" applyFont="1" applyBorder="1"/>
    <xf numFmtId="3" fontId="31" fillId="0" borderId="15" xfId="11" applyNumberFormat="1" applyFont="1" applyBorder="1"/>
    <xf numFmtId="0" fontId="31" fillId="0" borderId="15" xfId="10" applyFont="1" applyBorder="1" applyAlignment="1">
      <alignment vertical="center"/>
    </xf>
    <xf numFmtId="3" fontId="31" fillId="0" borderId="0" xfId="9" applyNumberFormat="1" applyFont="1" applyAlignment="1">
      <alignment vertical="center"/>
    </xf>
    <xf numFmtId="2" fontId="3" fillId="0" borderId="0" xfId="9" applyNumberFormat="1" applyAlignment="1">
      <alignment vertical="center"/>
    </xf>
    <xf numFmtId="0" fontId="12" fillId="2" borderId="17" xfId="6" applyFill="1" applyBorder="1" applyAlignment="1">
      <alignment horizontal="left" vertical="center" indent="1"/>
    </xf>
    <xf numFmtId="4" fontId="30" fillId="2" borderId="17" xfId="3" applyNumberFormat="1" applyFont="1" applyFill="1" applyBorder="1" applyAlignment="1">
      <alignment horizontal="right" vertical="center"/>
    </xf>
    <xf numFmtId="0" fontId="30" fillId="2" borderId="4" xfId="0" applyFont="1" applyFill="1" applyBorder="1" applyAlignment="1">
      <alignment horizontal="left" vertical="center" indent="1"/>
    </xf>
    <xf numFmtId="4" fontId="30" fillId="2" borderId="4" xfId="3" applyNumberFormat="1" applyFont="1" applyFill="1" applyBorder="1" applyAlignment="1">
      <alignment horizontal="right" vertical="center"/>
    </xf>
    <xf numFmtId="3" fontId="30" fillId="2" borderId="18" xfId="0" quotePrefix="1" applyNumberFormat="1" applyFont="1" applyFill="1" applyBorder="1" applyAlignment="1">
      <alignment horizontal="right"/>
    </xf>
    <xf numFmtId="3" fontId="30" fillId="2" borderId="18" xfId="0" quotePrefix="1" applyNumberFormat="1" applyFont="1" applyFill="1" applyBorder="1" applyAlignment="1">
      <alignment horizontal="left"/>
    </xf>
    <xf numFmtId="15" fontId="0" fillId="2" borderId="0" xfId="0" applyNumberFormat="1" applyFill="1" applyBorder="1" applyAlignment="1">
      <alignment horizontal="right" vertical="center"/>
    </xf>
    <xf numFmtId="10" fontId="2" fillId="2" borderId="0" xfId="3" applyNumberFormat="1" applyFont="1" applyFill="1" applyBorder="1" applyAlignment="1">
      <alignment horizontal="right" vertical="center"/>
    </xf>
    <xf numFmtId="2" fontId="14" fillId="2" borderId="4" xfId="0" applyNumberFormat="1" applyFont="1" applyFill="1" applyBorder="1"/>
    <xf numFmtId="3" fontId="12" fillId="2" borderId="0" xfId="6" applyNumberFormat="1" applyFill="1" applyAlignment="1">
      <alignment horizontal="right" vertical="center"/>
    </xf>
    <xf numFmtId="0" fontId="1" fillId="2" borderId="0" xfId="0" applyFont="1" applyFill="1" applyAlignment="1">
      <alignment horizontal="right"/>
    </xf>
    <xf numFmtId="3" fontId="0" fillId="2" borderId="0" xfId="0" applyNumberForma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/>
    <xf numFmtId="168" fontId="0" fillId="2" borderId="0" xfId="0" applyNumberFormat="1" applyFill="1"/>
    <xf numFmtId="168" fontId="43" fillId="2" borderId="0" xfId="0" applyNumberFormat="1" applyFont="1" applyFill="1"/>
    <xf numFmtId="10" fontId="0" fillId="2" borderId="0" xfId="3" applyNumberFormat="1" applyFont="1" applyFill="1"/>
    <xf numFmtId="10" fontId="43" fillId="2" borderId="0" xfId="3" applyNumberFormat="1" applyFont="1" applyFill="1" applyAlignment="1">
      <alignment horizontal="right" vertical="center"/>
    </xf>
    <xf numFmtId="10" fontId="43" fillId="2" borderId="0" xfId="3" applyNumberFormat="1" applyFont="1" applyFill="1"/>
    <xf numFmtId="164" fontId="0" fillId="2" borderId="0" xfId="0" applyNumberFormat="1" applyFill="1"/>
    <xf numFmtId="164" fontId="0" fillId="2" borderId="0" xfId="0" applyNumberFormat="1" applyFill="1" applyAlignment="1">
      <alignment horizontal="right" vertical="center"/>
    </xf>
    <xf numFmtId="0" fontId="43" fillId="2" borderId="0" xfId="0" applyFont="1" applyFill="1"/>
    <xf numFmtId="4" fontId="0" fillId="2" borderId="0" xfId="0" applyNumberFormat="1" applyFill="1"/>
    <xf numFmtId="166" fontId="0" fillId="2" borderId="0" xfId="0" applyNumberFormat="1" applyFill="1"/>
    <xf numFmtId="10" fontId="1" fillId="2" borderId="0" xfId="0" applyNumberFormat="1" applyFont="1" applyFill="1" applyBorder="1" applyAlignment="1">
      <alignment horizontal="right"/>
    </xf>
    <xf numFmtId="0" fontId="44" fillId="8" borderId="0" xfId="13"/>
    <xf numFmtId="14" fontId="44" fillId="8" borderId="0" xfId="13" applyNumberFormat="1"/>
    <xf numFmtId="14" fontId="0" fillId="0" borderId="0" xfId="0" applyNumberFormat="1"/>
    <xf numFmtId="2" fontId="45" fillId="0" borderId="0" xfId="0" applyNumberFormat="1" applyFont="1"/>
    <xf numFmtId="169" fontId="30" fillId="2" borderId="4" xfId="3" applyNumberFormat="1" applyFont="1" applyFill="1" applyBorder="1" applyAlignment="1">
      <alignment horizontal="right" vertical="center"/>
    </xf>
    <xf numFmtId="0" fontId="3" fillId="2" borderId="0" xfId="9" applyFill="1" applyAlignment="1">
      <alignment vertical="center"/>
    </xf>
    <xf numFmtId="3" fontId="3" fillId="2" borderId="0" xfId="9" applyNumberFormat="1" applyFill="1" applyAlignment="1">
      <alignment vertical="center"/>
    </xf>
    <xf numFmtId="3" fontId="42" fillId="2" borderId="0" xfId="9" applyNumberFormat="1" applyFont="1" applyFill="1" applyAlignment="1">
      <alignment vertical="center"/>
    </xf>
    <xf numFmtId="2" fontId="3" fillId="2" borderId="0" xfId="9" applyNumberFormat="1" applyFill="1" applyAlignment="1">
      <alignment vertical="center"/>
    </xf>
    <xf numFmtId="4" fontId="3" fillId="2" borderId="0" xfId="9" applyNumberFormat="1" applyFill="1" applyAlignment="1">
      <alignment vertical="center"/>
    </xf>
    <xf numFmtId="10" fontId="42" fillId="2" borderId="0" xfId="3" applyNumberFormat="1" applyFont="1" applyFill="1" applyAlignment="1">
      <alignment vertical="center"/>
    </xf>
    <xf numFmtId="1" fontId="35" fillId="0" borderId="0" xfId="3" applyNumberFormat="1" applyFont="1" applyBorder="1" applyAlignment="1">
      <alignment horizontal="right" wrapText="1"/>
    </xf>
    <xf numFmtId="1" fontId="35" fillId="4" borderId="0" xfId="3" applyNumberFormat="1" applyFont="1" applyFill="1" applyBorder="1" applyAlignment="1">
      <alignment horizontal="right" wrapText="1"/>
    </xf>
    <xf numFmtId="0" fontId="0" fillId="0" borderId="19" xfId="0" applyBorder="1" applyAlignment="1">
      <alignment horizontal="center"/>
    </xf>
    <xf numFmtId="0" fontId="41" fillId="0" borderId="20" xfId="0" applyFont="1" applyBorder="1"/>
    <xf numFmtId="2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0" fillId="0" borderId="22" xfId="0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22" xfId="0" applyNumberFormat="1" applyBorder="1" applyAlignment="1">
      <alignment horizontal="center"/>
    </xf>
    <xf numFmtId="0" fontId="41" fillId="0" borderId="22" xfId="0" applyFont="1" applyBorder="1"/>
    <xf numFmtId="0" fontId="0" fillId="0" borderId="23" xfId="0" applyBorder="1"/>
    <xf numFmtId="2" fontId="0" fillId="0" borderId="24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2" fontId="0" fillId="0" borderId="23" xfId="0" applyNumberFormat="1" applyBorder="1" applyAlignment="1">
      <alignment horizontal="center"/>
    </xf>
    <xf numFmtId="10" fontId="30" fillId="2" borderId="18" xfId="3" applyNumberFormat="1" applyFont="1" applyFill="1" applyBorder="1" applyAlignment="1">
      <alignment horizontal="left" vertical="center" indent="1"/>
    </xf>
    <xf numFmtId="2" fontId="0" fillId="0" borderId="0" xfId="0" applyNumberFormat="1"/>
    <xf numFmtId="0" fontId="0" fillId="0" borderId="0" xfId="0"/>
    <xf numFmtId="167" fontId="0" fillId="2" borderId="0" xfId="0" applyNumberFormat="1" applyFill="1" applyBorder="1"/>
    <xf numFmtId="167" fontId="2" fillId="2" borderId="0" xfId="0" applyNumberFormat="1" applyFont="1" applyFill="1" applyBorder="1" applyAlignment="1">
      <alignment horizontal="right" vertical="center"/>
    </xf>
    <xf numFmtId="10" fontId="2" fillId="2" borderId="0" xfId="0" applyNumberFormat="1" applyFont="1" applyFill="1" applyBorder="1" applyAlignment="1">
      <alignment horizontal="right" vertical="center"/>
    </xf>
    <xf numFmtId="0" fontId="46" fillId="2" borderId="0" xfId="0" applyFont="1" applyFill="1" applyBorder="1" applyAlignment="1">
      <alignment horizontal="left" vertical="center"/>
    </xf>
    <xf numFmtId="10" fontId="46" fillId="2" borderId="0" xfId="0" applyNumberFormat="1" applyFont="1" applyFill="1" applyBorder="1"/>
    <xf numFmtId="0" fontId="47" fillId="2" borderId="0" xfId="0" applyFont="1" applyFill="1" applyBorder="1"/>
    <xf numFmtId="10" fontId="46" fillId="2" borderId="0" xfId="3" applyNumberFormat="1" applyFont="1" applyFill="1" applyBorder="1" applyAlignment="1">
      <alignment horizontal="right" vertical="center"/>
    </xf>
    <xf numFmtId="0" fontId="48" fillId="2" borderId="0" xfId="0" applyFont="1" applyFill="1" applyBorder="1" applyAlignment="1">
      <alignment horizontal="right"/>
    </xf>
    <xf numFmtId="0" fontId="49" fillId="2" borderId="0" xfId="0" applyFont="1" applyFill="1" applyBorder="1" applyAlignment="1">
      <alignment horizontal="left" vertical="center" indent="1"/>
    </xf>
    <xf numFmtId="10" fontId="47" fillId="2" borderId="0" xfId="0" applyNumberFormat="1" applyFont="1" applyFill="1" applyBorder="1"/>
    <xf numFmtId="10" fontId="49" fillId="2" borderId="0" xfId="3" applyNumberFormat="1" applyFont="1" applyFill="1" applyBorder="1" applyAlignment="1">
      <alignment horizontal="right" vertical="center"/>
    </xf>
    <xf numFmtId="0" fontId="50" fillId="2" borderId="0" xfId="0" applyFont="1" applyFill="1" applyBorder="1" applyAlignment="1">
      <alignment horizontal="left" vertical="center" indent="2"/>
    </xf>
    <xf numFmtId="2" fontId="50" fillId="2" borderId="0" xfId="3" applyNumberFormat="1" applyFont="1" applyFill="1" applyBorder="1" applyAlignment="1">
      <alignment horizontal="right" vertical="center"/>
    </xf>
    <xf numFmtId="2" fontId="49" fillId="2" borderId="0" xfId="3" applyNumberFormat="1" applyFont="1" applyFill="1" applyBorder="1" applyAlignment="1">
      <alignment horizontal="right" vertical="center"/>
    </xf>
    <xf numFmtId="10" fontId="50" fillId="2" borderId="0" xfId="3" applyNumberFormat="1" applyFont="1" applyFill="1" applyBorder="1" applyAlignment="1">
      <alignment horizontal="right" vertical="center"/>
    </xf>
    <xf numFmtId="167" fontId="46" fillId="2" borderId="0" xfId="3" applyNumberFormat="1" applyFont="1" applyFill="1" applyBorder="1" applyAlignment="1">
      <alignment horizontal="right" vertical="center"/>
    </xf>
    <xf numFmtId="0" fontId="49" fillId="2" borderId="5" xfId="0" applyFont="1" applyFill="1" applyBorder="1" applyAlignment="1">
      <alignment horizontal="left" vertical="center" indent="1"/>
    </xf>
    <xf numFmtId="10" fontId="49" fillId="2" borderId="5" xfId="3" applyNumberFormat="1" applyFont="1" applyFill="1" applyBorder="1" applyAlignment="1">
      <alignment horizontal="right" vertical="center"/>
    </xf>
    <xf numFmtId="0" fontId="51" fillId="9" borderId="0" xfId="0" applyFont="1" applyFill="1"/>
    <xf numFmtId="0" fontId="3" fillId="0" borderId="16" xfId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3" fillId="0" borderId="15" xfId="1" applyBorder="1" applyAlignment="1">
      <alignment horizontal="center" vertical="center" wrapText="1"/>
    </xf>
    <xf numFmtId="0" fontId="3" fillId="0" borderId="10" xfId="1" applyBorder="1" applyAlignment="1">
      <alignment horizontal="center" vertical="center" wrapText="1"/>
    </xf>
    <xf numFmtId="0" fontId="3" fillId="0" borderId="11" xfId="1" applyBorder="1" applyAlignment="1">
      <alignment horizontal="center" vertical="center" wrapText="1"/>
    </xf>
    <xf numFmtId="0" fontId="3" fillId="0" borderId="12" xfId="1" applyBorder="1" applyAlignment="1">
      <alignment horizontal="center" vertical="center" wrapText="1"/>
    </xf>
    <xf numFmtId="0" fontId="3" fillId="0" borderId="13" xfId="1" applyBorder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3" fillId="0" borderId="14" xfId="1" applyBorder="1" applyAlignment="1">
      <alignment horizontal="center" vertical="center" wrapText="1"/>
    </xf>
    <xf numFmtId="0" fontId="31" fillId="6" borderId="7" xfId="9" applyFont="1" applyFill="1" applyBorder="1" applyAlignment="1">
      <alignment horizontal="center" vertical="center" wrapText="1"/>
    </xf>
    <xf numFmtId="0" fontId="31" fillId="6" borderId="8" xfId="9" applyFont="1" applyFill="1" applyBorder="1" applyAlignment="1">
      <alignment horizontal="center" vertical="center" wrapText="1"/>
    </xf>
    <xf numFmtId="0" fontId="31" fillId="6" borderId="9" xfId="9" applyFont="1" applyFill="1" applyBorder="1" applyAlignment="1">
      <alignment horizontal="center" vertical="center" wrapText="1"/>
    </xf>
    <xf numFmtId="0" fontId="41" fillId="0" borderId="0" xfId="0" applyFont="1"/>
    <xf numFmtId="0" fontId="0" fillId="0" borderId="0" xfId="0"/>
    <xf numFmtId="0" fontId="0" fillId="0" borderId="0" xfId="0" applyAlignment="1">
      <alignment horizontal="left" vertical="top" wrapText="1"/>
    </xf>
  </cellXfs>
  <cellStyles count="14">
    <cellStyle name="blp_column_header" xfId="13" xr:uid="{7DC1A8D5-8BF9-43D9-A531-74679623D1F5}"/>
    <cellStyle name="Cancel 2" xfId="10" xr:uid="{544B0BBF-A2AE-4161-96DE-F475415176E3}"/>
    <cellStyle name="Hipervínculo" xfId="6" builtinId="8"/>
    <cellStyle name="Hipervínculo 2" xfId="7" xr:uid="{8639CD5C-08E9-467B-A155-BC65ECC714E2}"/>
    <cellStyle name="Moneda 2" xfId="8" xr:uid="{08346DFE-98B1-46DD-B689-B2FC011FAE49}"/>
    <cellStyle name="Normal" xfId="0" builtinId="0"/>
    <cellStyle name="Normal 2" xfId="1" xr:uid="{419BDC84-883B-4AF2-A540-B6719B42CD74}"/>
    <cellStyle name="Normal 2 11 2" xfId="9" xr:uid="{E97F3A54-2B3E-4408-86FF-2C8C69713585}"/>
    <cellStyle name="Normal 3" xfId="2" xr:uid="{9101575E-A0DC-4445-A835-80BDF3FA1B8E}"/>
    <cellStyle name="Normal 4" xfId="4" xr:uid="{75707CD1-2007-4551-8EA6-EE9086C7DFDE}"/>
    <cellStyle name="Normal 5" xfId="12" xr:uid="{EB54AE92-9E90-44A8-BB12-85428E2320F7}"/>
    <cellStyle name="Normal 83" xfId="11" xr:uid="{CD3363D8-EF4F-41A7-A999-A705D507ECAC}"/>
    <cellStyle name="Porcentaje" xfId="3" builtinId="5"/>
    <cellStyle name="Porcentaje 2" xfId="5" xr:uid="{960EA486-1099-40E7-892C-9C47725D17E3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4" formatCode="0.00%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border outline="0">
        <bottom style="thin">
          <color rgb="FF4472C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numFmt numFmtId="164" formatCode="_ * #,##0_ ;_ * \-#,##0_ ;_ * &quot;-&quot;??_ ;_ @_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border outline="0"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numFmt numFmtId="164" formatCode="_ * #,##0_ ;_ * \-#,##0_ ;_ * &quot;-&quot;??_ ;_ @_ "/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42</xdr:row>
      <xdr:rowOff>0</xdr:rowOff>
    </xdr:from>
    <xdr:to>
      <xdr:col>3</xdr:col>
      <xdr:colOff>1109659</xdr:colOff>
      <xdr:row>50</xdr:row>
      <xdr:rowOff>107948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226F09A-A83C-44B0-8DD3-566B51BA6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7791450"/>
          <a:ext cx="3671884" cy="1631948"/>
        </a:xfrm>
        <a:prstGeom prst="rect">
          <a:avLst/>
        </a:prstGeom>
      </xdr:spPr>
    </xdr:pic>
    <xdr:clientData/>
  </xdr:twoCellAnchor>
  <xdr:twoCellAnchor editAs="oneCell">
    <xdr:from>
      <xdr:col>1</xdr:col>
      <xdr:colOff>622089</xdr:colOff>
      <xdr:row>31</xdr:row>
      <xdr:rowOff>90398</xdr:rowOff>
    </xdr:from>
    <xdr:to>
      <xdr:col>10</xdr:col>
      <xdr:colOff>534680</xdr:colOff>
      <xdr:row>48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85C105B-454B-44C1-9D2A-58A3237A2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5114" y="5786348"/>
          <a:ext cx="8246966" cy="33005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tes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pread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PRESUPUESTO/Partidas/partidas%202008/Dato%202004/PROYECCION/Proy%202005/Proy%20Plan%20estrat/Pry%20JCh%202005%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G/Abel/2021%20Corpac/03%20Datos/01%20Datos%20financieros/Damodaran/histretS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G/Abel/2021%20Corpac/03%20Datos/01%20Datos%20financieros/Damodaran/histretSP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7">
          <cell r="A7" t="str">
            <v>ACEITES Y GRASAS 3/</v>
          </cell>
        </row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Macro1"/>
      <sheetName val="Plan1"/>
      <sheetName val="Diálog1"/>
      <sheetName val="barracão"/>
      <sheetName val="barracão2"/>
      <sheetName val="RESUMO"/>
      <sheetName val="res"/>
      <sheetName val="resf"/>
      <sheetName val="Plan3"/>
      <sheetName val="DC"/>
      <sheetName val="EC"/>
      <sheetName val="PC"/>
      <sheetName val="E"/>
      <sheetName val="AL"/>
      <sheetName val="SE"/>
      <sheetName val="EI"/>
      <sheetName val="P"/>
      <sheetName val="AC"/>
      <sheetName val="SL"/>
      <sheetName val="SR"/>
      <sheetName val="SUB"/>
      <sheetName val="RESUA"/>
      <sheetName val="RESU2"/>
      <sheetName val="DC2"/>
      <sheetName val="EC2"/>
      <sheetName val="PC2"/>
      <sheetName val="AL2"/>
      <sheetName val="E2"/>
      <sheetName val="SE2"/>
      <sheetName val="EI2"/>
      <sheetName val="P2"/>
      <sheetName val="AC2"/>
      <sheetName val="SL2"/>
      <sheetName val="SR2"/>
      <sheetName val="SUB2"/>
      <sheetName val="DC3"/>
      <sheetName val="RESUB"/>
      <sheetName val="RESU3"/>
      <sheetName val="EC3"/>
      <sheetName val="PC3"/>
      <sheetName val="AL3"/>
      <sheetName val="E3"/>
      <sheetName val="SE3"/>
      <sheetName val="EI3"/>
      <sheetName val="P3"/>
      <sheetName val="AC3"/>
      <sheetName val="SL3"/>
      <sheetName val="SEMC"/>
      <sheetName val="SR3"/>
      <sheetName val="SEMA"/>
      <sheetName val="RESUC"/>
      <sheetName val="RESU4"/>
      <sheetName val="Macro2"/>
      <sheetName val="Plan2"/>
      <sheetName val="Plan4"/>
      <sheetName val="Plan5"/>
      <sheetName val="Plan6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ída"/>
      <sheetName val="Sheet2"/>
      <sheetName val="Entrada"/>
    </sheetNames>
    <sheetDataSet>
      <sheetData sheetId="0"/>
      <sheetData sheetId="1" refreshError="1">
        <row r="4">
          <cell r="G4">
            <v>37665.370833333334</v>
          </cell>
          <cell r="H4">
            <v>10710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Tc"/>
      <sheetName val="TUUA"/>
      <sheetName val="AD"/>
      <sheetName val="AD n"/>
      <sheetName val="AD i"/>
      <sheetName val="N diary"/>
      <sheetName val="I diary"/>
      <sheetName val="AD varios"/>
      <sheetName val="Graphs"/>
      <sheetName val="Proy"/>
    </sheetNames>
    <sheetDataSet>
      <sheetData sheetId="0"/>
      <sheetData sheetId="1"/>
      <sheetData sheetId="2">
        <row r="10">
          <cell r="C10">
            <v>74880</v>
          </cell>
        </row>
        <row r="63">
          <cell r="F63">
            <v>23.76</v>
          </cell>
          <cell r="G63">
            <v>0.19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anations and FAQ"/>
      <sheetName val="Returns by year"/>
      <sheetName val="S&amp;P 500 &amp; Raw Data"/>
      <sheetName val="T. Bond yield &amp; return"/>
      <sheetName val="T. Bill rates"/>
      <sheetName val="Inflation Rate"/>
      <sheetName val="Summary for ppt"/>
      <sheetName val="Home Prices (Raw Data)"/>
      <sheetName val="Moody's Rates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85">
          <cell r="E85">
            <v>3.8399999999999997E-2</v>
          </cell>
        </row>
        <row r="86">
          <cell r="E86">
            <v>3.2899999999999999E-2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anations and FAQ"/>
      <sheetName val="Returns by year"/>
      <sheetName val="S&amp;P 500 &amp; Raw Data"/>
      <sheetName val="T. Bond yield &amp; return"/>
      <sheetName val="T. Bill rates"/>
      <sheetName val="Inflation Rate"/>
      <sheetName val="Summary for ppt"/>
      <sheetName val="Home Prices (Raw Data)"/>
      <sheetName val="Moody's Rates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3">
          <cell r="B3">
            <v>17.66</v>
          </cell>
        </row>
      </sheetData>
      <sheetData sheetId="3">
        <row r="98">
          <cell r="C98">
            <v>2.8017162707789457E-2</v>
          </cell>
        </row>
        <row r="99">
          <cell r="B99">
            <v>2.69E-2</v>
          </cell>
          <cell r="C99">
            <v>-1.6692385713402633E-4</v>
          </cell>
        </row>
        <row r="100">
          <cell r="C100">
            <v>9.6356307415483927E-2</v>
          </cell>
        </row>
        <row r="101">
          <cell r="C101">
            <v>0.1133189764661412</v>
          </cell>
        </row>
      </sheetData>
      <sheetData sheetId="4">
        <row r="12">
          <cell r="C12">
            <v>2.7833333333333334E-3</v>
          </cell>
        </row>
      </sheetData>
      <sheetData sheetId="5"/>
      <sheetData sheetId="6"/>
      <sheetData sheetId="7"/>
      <sheetData sheetId="8">
        <row r="20">
          <cell r="C20">
            <v>4.4600000000000001E-2</v>
          </cell>
          <cell r="K20">
            <v>5.3200000000000004E-2</v>
          </cell>
        </row>
        <row r="21">
          <cell r="C21">
            <v>4.6100000000000002E-2</v>
          </cell>
          <cell r="K21">
            <v>5.5999999999999994E-2</v>
          </cell>
        </row>
        <row r="22">
          <cell r="C22">
            <v>4.6699999999999998E-2</v>
          </cell>
          <cell r="K22">
            <v>5.9500000000000004E-2</v>
          </cell>
        </row>
        <row r="23">
          <cell r="C23">
            <v>4.5199999999999997E-2</v>
          </cell>
          <cell r="K23">
            <v>6.7099999999999993E-2</v>
          </cell>
        </row>
        <row r="24">
          <cell r="C24">
            <v>5.3200000000000004E-2</v>
          </cell>
          <cell r="K24">
            <v>0.1042</v>
          </cell>
        </row>
        <row r="25">
          <cell r="C25">
            <v>4.5899999999999996E-2</v>
          </cell>
          <cell r="K25">
            <v>8.4199999999999997E-2</v>
          </cell>
        </row>
        <row r="26">
          <cell r="C26">
            <v>4.4999999999999998E-2</v>
          </cell>
          <cell r="K26">
            <v>7.7499999999999999E-2</v>
          </cell>
        </row>
        <row r="27">
          <cell r="C27">
            <v>3.8100000000000002E-2</v>
          </cell>
          <cell r="K27">
            <v>6.2300000000000001E-2</v>
          </cell>
        </row>
        <row r="28">
          <cell r="C28">
            <v>3.44E-2</v>
          </cell>
          <cell r="K28">
            <v>5.2999999999999999E-2</v>
          </cell>
        </row>
        <row r="29">
          <cell r="C29">
            <v>3.1E-2</v>
          </cell>
          <cell r="K29">
            <v>4.53E-2</v>
          </cell>
        </row>
        <row r="30">
          <cell r="C30">
            <v>3.2099999999999997E-2</v>
          </cell>
          <cell r="K30">
            <v>5.7300000000000004E-2</v>
          </cell>
        </row>
        <row r="31">
          <cell r="C31">
            <v>3.0800000000000001E-2</v>
          </cell>
          <cell r="K31">
            <v>5.2699999999999997E-2</v>
          </cell>
        </row>
        <row r="32">
          <cell r="C32">
            <v>2.9399999999999999E-2</v>
          </cell>
          <cell r="K32">
            <v>4.9200000000000001E-2</v>
          </cell>
        </row>
        <row r="33">
          <cell r="C33">
            <v>2.7099999999999999E-2</v>
          </cell>
          <cell r="K33">
            <v>4.4500000000000005E-2</v>
          </cell>
        </row>
        <row r="34">
          <cell r="C34">
            <v>2.7999999999999997E-2</v>
          </cell>
          <cell r="K34">
            <v>4.3799999999999999E-2</v>
          </cell>
        </row>
        <row r="35">
          <cell r="C35">
            <v>2.81E-2</v>
          </cell>
          <cell r="K35">
            <v>4.2800000000000005E-2</v>
          </cell>
        </row>
        <row r="36">
          <cell r="C36">
            <v>2.7400000000000001E-2</v>
          </cell>
          <cell r="K36">
            <v>3.8199999999999998E-2</v>
          </cell>
        </row>
        <row r="37">
          <cell r="C37">
            <v>2.7000000000000003E-2</v>
          </cell>
          <cell r="K37">
            <v>3.49E-2</v>
          </cell>
        </row>
        <row r="38">
          <cell r="C38">
            <v>2.6099999999999998E-2</v>
          </cell>
          <cell r="K38">
            <v>3.1E-2</v>
          </cell>
        </row>
        <row r="39">
          <cell r="C39">
            <v>2.6099999999999998E-2</v>
          </cell>
          <cell r="K39">
            <v>3.1699999999999999E-2</v>
          </cell>
        </row>
        <row r="40">
          <cell r="C40">
            <v>2.86E-2</v>
          </cell>
          <cell r="K40">
            <v>3.5200000000000002E-2</v>
          </cell>
        </row>
        <row r="41">
          <cell r="C41">
            <v>2.7900000000000001E-2</v>
          </cell>
          <cell r="K41">
            <v>3.5299999999999998E-2</v>
          </cell>
        </row>
        <row r="42">
          <cell r="C42">
            <v>2.58E-2</v>
          </cell>
          <cell r="K42">
            <v>3.3099999999999997E-2</v>
          </cell>
        </row>
        <row r="43">
          <cell r="C43">
            <v>2.6699999999999998E-2</v>
          </cell>
          <cell r="K43">
            <v>3.2000000000000001E-2</v>
          </cell>
        </row>
        <row r="44">
          <cell r="C44">
            <v>3.0099999999999998E-2</v>
          </cell>
          <cell r="K44">
            <v>3.61E-2</v>
          </cell>
        </row>
        <row r="45">
          <cell r="C45">
            <v>2.9700000000000001E-2</v>
          </cell>
          <cell r="K45">
            <v>3.5099999999999999E-2</v>
          </cell>
        </row>
        <row r="46">
          <cell r="C46">
            <v>3.1300000000000001E-2</v>
          </cell>
          <cell r="K46">
            <v>3.7400000000000003E-2</v>
          </cell>
        </row>
        <row r="47">
          <cell r="C47">
            <v>2.8999999999999998E-2</v>
          </cell>
          <cell r="K47">
            <v>3.4500000000000003E-2</v>
          </cell>
        </row>
        <row r="48">
          <cell r="C48">
            <v>3.15E-2</v>
          </cell>
          <cell r="K48">
            <v>3.6200000000000003E-2</v>
          </cell>
        </row>
        <row r="49">
          <cell r="C49">
            <v>3.7499999999999999E-2</v>
          </cell>
          <cell r="K49">
            <v>4.3700000000000003E-2</v>
          </cell>
        </row>
        <row r="50">
          <cell r="C50">
            <v>3.8100000000000002E-2</v>
          </cell>
          <cell r="K50">
            <v>5.0300000000000004E-2</v>
          </cell>
        </row>
        <row r="51">
          <cell r="C51">
            <v>4.0800000000000003E-2</v>
          </cell>
          <cell r="K51">
            <v>4.8499999999999995E-2</v>
          </cell>
        </row>
        <row r="52">
          <cell r="C52">
            <v>4.58E-2</v>
          </cell>
          <cell r="K52">
            <v>5.28E-2</v>
          </cell>
        </row>
        <row r="53">
          <cell r="C53">
            <v>4.3499999999999997E-2</v>
          </cell>
          <cell r="K53">
            <v>5.0999999999999997E-2</v>
          </cell>
        </row>
        <row r="54">
          <cell r="C54">
            <v>4.4199999999999996E-2</v>
          </cell>
          <cell r="K54">
            <v>5.0999999999999997E-2</v>
          </cell>
        </row>
        <row r="55">
          <cell r="C55">
            <v>4.24E-2</v>
          </cell>
          <cell r="K55">
            <v>4.9200000000000001E-2</v>
          </cell>
        </row>
        <row r="56">
          <cell r="C56">
            <v>4.3499999999999997E-2</v>
          </cell>
          <cell r="K56">
            <v>4.8499999999999995E-2</v>
          </cell>
        </row>
        <row r="57">
          <cell r="C57">
            <v>4.4400000000000002E-2</v>
          </cell>
          <cell r="K57">
            <v>4.8099999999999997E-2</v>
          </cell>
        </row>
        <row r="58">
          <cell r="C58">
            <v>4.6799999999999994E-2</v>
          </cell>
          <cell r="K58">
            <v>5.0199999999999995E-2</v>
          </cell>
        </row>
        <row r="59">
          <cell r="C59">
            <v>5.3899999999999997E-2</v>
          </cell>
          <cell r="K59">
            <v>6.1799999999999994E-2</v>
          </cell>
        </row>
        <row r="60">
          <cell r="C60">
            <v>6.1900000000000004E-2</v>
          </cell>
          <cell r="K60">
            <v>6.93E-2</v>
          </cell>
        </row>
        <row r="61">
          <cell r="C61">
            <v>6.4500000000000002E-2</v>
          </cell>
          <cell r="K61">
            <v>7.2300000000000003E-2</v>
          </cell>
        </row>
        <row r="62">
          <cell r="C62">
            <v>7.7199999999999991E-2</v>
          </cell>
          <cell r="K62">
            <v>8.6500000000000007E-2</v>
          </cell>
        </row>
        <row r="63">
          <cell r="C63">
            <v>7.6399999999999996E-2</v>
          </cell>
          <cell r="K63">
            <v>9.1199999999999989E-2</v>
          </cell>
        </row>
        <row r="64">
          <cell r="C64">
            <v>7.2499999999999995E-2</v>
          </cell>
          <cell r="K64">
            <v>8.3800000000000013E-2</v>
          </cell>
        </row>
        <row r="65">
          <cell r="C65">
            <v>7.0800000000000002E-2</v>
          </cell>
          <cell r="K65">
            <v>7.9299999999999995E-2</v>
          </cell>
        </row>
        <row r="66">
          <cell r="C66">
            <v>7.6799999999999993E-2</v>
          </cell>
          <cell r="K66">
            <v>8.48E-2</v>
          </cell>
        </row>
        <row r="67">
          <cell r="C67">
            <v>8.8900000000000007E-2</v>
          </cell>
          <cell r="K67">
            <v>0.10630000000000001</v>
          </cell>
        </row>
        <row r="68">
          <cell r="C68">
            <v>8.7899999999999992E-2</v>
          </cell>
          <cell r="K68">
            <v>0.1056</v>
          </cell>
        </row>
        <row r="69">
          <cell r="C69">
            <v>7.980000000000001E-2</v>
          </cell>
          <cell r="K69">
            <v>9.1199999999999989E-2</v>
          </cell>
        </row>
        <row r="70">
          <cell r="C70">
            <v>8.1900000000000001E-2</v>
          </cell>
          <cell r="K70">
            <v>8.9900000000000008E-2</v>
          </cell>
        </row>
        <row r="71">
          <cell r="C71">
            <v>9.1600000000000001E-2</v>
          </cell>
          <cell r="K71">
            <v>9.9399999999999988E-2</v>
          </cell>
        </row>
        <row r="72">
          <cell r="C72">
            <v>0.1074</v>
          </cell>
          <cell r="K72">
            <v>0.1206</v>
          </cell>
        </row>
        <row r="73">
          <cell r="C73">
            <v>0.1321</v>
          </cell>
          <cell r="K73">
            <v>0.15140000000000001</v>
          </cell>
        </row>
        <row r="74">
          <cell r="C74">
            <v>0.14230000000000001</v>
          </cell>
          <cell r="K74">
            <v>0.16550000000000001</v>
          </cell>
        </row>
        <row r="75">
          <cell r="C75">
            <v>0.1183</v>
          </cell>
          <cell r="K75">
            <v>0.1414</v>
          </cell>
        </row>
        <row r="76">
          <cell r="C76">
            <v>0.12570000000000001</v>
          </cell>
          <cell r="K76">
            <v>0.13750000000000001</v>
          </cell>
        </row>
        <row r="77">
          <cell r="C77">
            <v>0.12130000000000001</v>
          </cell>
          <cell r="K77">
            <v>0.13400000000000001</v>
          </cell>
        </row>
        <row r="78">
          <cell r="C78">
            <v>0.1016</v>
          </cell>
          <cell r="K78">
            <v>0.1158</v>
          </cell>
        </row>
        <row r="79">
          <cell r="C79">
            <v>8.4900000000000003E-2</v>
          </cell>
          <cell r="K79">
            <v>9.9700000000000011E-2</v>
          </cell>
        </row>
        <row r="80">
          <cell r="C80">
            <v>0.1011</v>
          </cell>
          <cell r="K80">
            <v>0.11289999999999999</v>
          </cell>
        </row>
        <row r="81">
          <cell r="C81">
            <v>9.5700000000000007E-2</v>
          </cell>
          <cell r="K81">
            <v>0.1065</v>
          </cell>
        </row>
        <row r="82">
          <cell r="C82">
            <v>8.8599999999999998E-2</v>
          </cell>
          <cell r="K82">
            <v>9.820000000000001E-2</v>
          </cell>
        </row>
        <row r="83">
          <cell r="C83">
            <v>9.0500000000000011E-2</v>
          </cell>
          <cell r="K83">
            <v>0.1043</v>
          </cell>
        </row>
        <row r="84">
          <cell r="C84">
            <v>8.3100000000000007E-2</v>
          </cell>
          <cell r="K84">
            <v>9.2600000000000002E-2</v>
          </cell>
        </row>
        <row r="85">
          <cell r="C85">
            <v>7.980000000000001E-2</v>
          </cell>
          <cell r="K85">
            <v>8.8100000000000012E-2</v>
          </cell>
        </row>
        <row r="86">
          <cell r="C86">
            <v>6.93E-2</v>
          </cell>
          <cell r="K86">
            <v>7.690000000000001E-2</v>
          </cell>
        </row>
        <row r="87">
          <cell r="C87">
            <v>8.4600000000000009E-2</v>
          </cell>
          <cell r="K87">
            <v>9.0999999999999998E-2</v>
          </cell>
        </row>
        <row r="88">
          <cell r="C88">
            <v>6.8199999999999997E-2</v>
          </cell>
          <cell r="K88">
            <v>7.4900000000000008E-2</v>
          </cell>
        </row>
        <row r="89">
          <cell r="C89">
            <v>7.2000000000000008E-2</v>
          </cell>
          <cell r="K89">
            <v>7.8899999999999998E-2</v>
          </cell>
        </row>
        <row r="90">
          <cell r="C90">
            <v>6.7599999999999993E-2</v>
          </cell>
          <cell r="K90">
            <v>7.3200000000000001E-2</v>
          </cell>
        </row>
        <row r="91">
          <cell r="C91">
            <v>6.2199999999999998E-2</v>
          </cell>
          <cell r="K91">
            <v>7.2300000000000003E-2</v>
          </cell>
        </row>
        <row r="92">
          <cell r="C92">
            <v>7.5499999999999998E-2</v>
          </cell>
          <cell r="K92">
            <v>8.1900000000000001E-2</v>
          </cell>
        </row>
        <row r="93">
          <cell r="C93">
            <v>7.2099999999999997E-2</v>
          </cell>
          <cell r="K93">
            <v>8.0199999999999994E-2</v>
          </cell>
        </row>
        <row r="94">
          <cell r="C94">
            <v>6.7699999999999996E-2</v>
          </cell>
          <cell r="K94">
            <v>8.0500000000000002E-2</v>
          </cell>
        </row>
        <row r="95">
          <cell r="C95">
            <v>6.2100000000000002E-2</v>
          </cell>
          <cell r="K95">
            <v>7.4499999999999997E-2</v>
          </cell>
        </row>
        <row r="96">
          <cell r="C96">
            <v>5.62E-2</v>
          </cell>
          <cell r="K96">
            <v>6.6000000000000003E-2</v>
          </cell>
        </row>
        <row r="97">
          <cell r="C97">
            <v>5.4699999999999999E-2</v>
          </cell>
          <cell r="K97">
            <v>6.1500000000000006E-2</v>
          </cell>
        </row>
        <row r="98">
          <cell r="C98">
            <v>5.3699999999999998E-2</v>
          </cell>
          <cell r="K98">
            <v>6.3200000000000006E-2</v>
          </cell>
        </row>
        <row r="99">
          <cell r="C99">
            <v>5.3200000000000004E-2</v>
          </cell>
          <cell r="K99">
            <v>6.2199999999999998E-2</v>
          </cell>
        </row>
        <row r="100">
          <cell r="C100">
            <v>5.4900000000000004E-2</v>
          </cell>
          <cell r="K100">
            <v>6.6500000000000004E-2</v>
          </cell>
        </row>
        <row r="101">
          <cell r="C101">
            <v>5.0499999999999996E-2</v>
          </cell>
          <cell r="K101">
            <v>8.43E-2</v>
          </cell>
        </row>
        <row r="102">
          <cell r="C102">
            <v>5.2600000000000001E-2</v>
          </cell>
          <cell r="K102">
            <v>6.3700000000000007E-2</v>
          </cell>
        </row>
        <row r="103">
          <cell r="C103">
            <v>5.0199999999999995E-2</v>
          </cell>
          <cell r="K103">
            <v>6.0999999999999999E-2</v>
          </cell>
        </row>
        <row r="104">
          <cell r="C104">
            <v>3.9300000000000002E-2</v>
          </cell>
          <cell r="K104">
            <v>5.2499999999999998E-2</v>
          </cell>
        </row>
        <row r="105">
          <cell r="C105">
            <v>3.6499999999999998E-2</v>
          </cell>
          <cell r="K105">
            <v>4.6300000000000001E-2</v>
          </cell>
        </row>
        <row r="106">
          <cell r="C106">
            <v>4.6199999999999998E-2</v>
          </cell>
          <cell r="K106">
            <v>5.3800000000000001E-2</v>
          </cell>
        </row>
        <row r="107">
          <cell r="C107">
            <v>3.7900000000000003E-2</v>
          </cell>
          <cell r="K107">
            <v>4.7400000000000005E-2</v>
          </cell>
        </row>
        <row r="108">
          <cell r="C108">
            <v>3.9699999999999999E-2</v>
          </cell>
          <cell r="K108">
            <v>5.4600000000000003E-2</v>
          </cell>
        </row>
        <row r="109">
          <cell r="C109">
            <v>4.0599999999999997E-2</v>
          </cell>
          <cell r="K109">
            <v>4.8300000000000003E-2</v>
          </cell>
        </row>
        <row r="110">
          <cell r="C110">
            <v>3.5099999999999999E-2</v>
          </cell>
          <cell r="K110">
            <v>4.2199999999999994E-2</v>
          </cell>
        </row>
        <row r="111">
          <cell r="C111">
            <v>4.0199999999999993E-2</v>
          </cell>
          <cell r="K111">
            <v>5.1299999999999998E-2</v>
          </cell>
        </row>
        <row r="112">
          <cell r="C112">
            <v>3.0099999999999998E-2</v>
          </cell>
          <cell r="K112">
            <v>3.8800000000000001E-2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bel Rodríguez González" id="{AC48A6C7-4B63-4813-9761-5F43171C4C10}" userId="c2f5de029f727e0a" providerId="Windows Liv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2F395EE-6D07-4956-A977-3B78BB209B92}" name="Tabla2" displayName="Tabla2" ref="E3:G97" totalsRowShown="0" headerRowDxfId="14" dataDxfId="12" headerRowBorderDxfId="13" tableBorderDxfId="11">
  <tableColumns count="3">
    <tableColumn id="1" xr3:uid="{4C467453-7C2F-419E-9F4B-791A29B8B098}" name="Año" dataDxfId="10" dataCellStyle="Hipervínculo">
      <calculatedColumnFormula>FuenteTasaLibreDeRiesgo!A8</calculatedColumnFormula>
    </tableColumn>
    <tableColumn id="2" xr3:uid="{01739442-0228-4099-8224-F273AF0F9B62}" name="Interés del bono a 10 años" dataDxfId="9" dataCellStyle="Porcentaje">
      <calculatedColumnFormula>FuenteTasaLibreDeRiesgo!B8</calculatedColumnFormula>
    </tableColumn>
    <tableColumn id="3" xr3:uid="{E82545A2-F34E-4FFB-A1C3-1EFECCBC859C}" name="Rentabilidad del bono a 10 años" dataDxfId="8" dataCellStyle="Hipervínculo">
      <calculatedColumnFormula>FuenteTasaLibreDeRiesgo!C8</calculatedColumnFormula>
    </tableColumn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ECEED0-566F-4FED-B9AE-B2E37D6D88A2}" name="Tabla22" displayName="Tabla22" ref="E3:H97" totalsRowShown="0" headerRowDxfId="7" dataDxfId="5" headerRowBorderDxfId="6" tableBorderDxfId="4">
  <tableColumns count="4">
    <tableColumn id="1" xr3:uid="{A63DF80E-FA29-4665-BAD3-27B92441ED6E}" name="Año" dataDxfId="3" dataCellStyle="Hipervínculo">
      <calculatedColumnFormula>FuenteTasaLibreDeRiesgo!A8</calculatedColumnFormula>
    </tableColumn>
    <tableColumn id="2" xr3:uid="{09EF41C7-1AED-4BA4-9795-73A245001620}" name="Índice S&amp;P 500" dataDxfId="2" dataCellStyle="Porcentaje">
      <calculatedColumnFormula>FuenteRendimientoMercado!B3</calculatedColumnFormula>
    </tableColumn>
    <tableColumn id="4" xr3:uid="{B2E2392F-11C9-4A83-A142-4C0C4B621405}" name="Índice Dividendos S&amp;P 500" dataDxfId="1">
      <calculatedColumnFormula>FuenteRendimientoMercado!C3</calculatedColumnFormula>
    </tableColumn>
    <tableColumn id="3" xr3:uid="{42A29677-E59C-45FB-BF3E-CA82CD674E2F}" name="Rentabilidad S&amp;P 500" dataDxfId="0" dataCellStyle="Hipervínculo">
      <calculatedColumnFormula>(F5-F4+G5)/F4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0" dT="2021-07-15T23:51:09.95" personId="{AC48A6C7-4B63-4813-9761-5F43171C4C10}" id="{C547A7C8-440D-4043-9BB8-EB06B75034D3}">
    <text>promedio 2020
https://www.bcrp.gob.pe/docs/Estadisticas/Cuadros-Estadisticos/cuadro-037.xlsx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microsoft.com/office/2017/10/relationships/threadedComment" Target="../threadedComments/threadedComment1.xml"/><Relationship Id="rId2" Type="http://schemas.openxmlformats.org/officeDocument/2006/relationships/hyperlink" Target="https://www.mef.gob.pe/contenidos/pol_econ/marco_macro/IAPM_2021_2024.pdf" TargetMode="External"/><Relationship Id="rId1" Type="http://schemas.openxmlformats.org/officeDocument/2006/relationships/hyperlink" Target="https://www.statista.com/statistics/244993/projected-consumer-price-index-in-the-united-states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estadisticas.bcrp.gob.pe/estadisticas/series/mensuales/resultados/PN01136XM/html" TargetMode="External"/><Relationship Id="rId3" Type="http://schemas.openxmlformats.org/officeDocument/2006/relationships/hyperlink" Target="https://estadisticas.bcrp.gob.pe/estadisticas/series/mensuales/resultados/PN01131XM/html" TargetMode="External"/><Relationship Id="rId7" Type="http://schemas.openxmlformats.org/officeDocument/2006/relationships/hyperlink" Target="https://estadisticas.bcrp.gob.pe/estadisticas/series/mensuales/resultados/PN01135XM/html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estadisticas.bcrp.gob.pe/estadisticas/series/mensuales/resultados/PN01130XM/html" TargetMode="External"/><Relationship Id="rId1" Type="http://schemas.openxmlformats.org/officeDocument/2006/relationships/hyperlink" Target="https://estadisticas.bcrp.gob.pe/estadisticas/series/mensuales/resultados/PN01129XM/html" TargetMode="External"/><Relationship Id="rId6" Type="http://schemas.openxmlformats.org/officeDocument/2006/relationships/hyperlink" Target="https://estadisticas.bcrp.gob.pe/estadisticas/series/mensuales/resultados/PN01134XM/html" TargetMode="External"/><Relationship Id="rId11" Type="http://schemas.openxmlformats.org/officeDocument/2006/relationships/hyperlink" Target="https://estadisticas.bcrp.gob.pe/estadisticas/series/cuadros/notasemanalmensual/cn-035" TargetMode="External"/><Relationship Id="rId5" Type="http://schemas.openxmlformats.org/officeDocument/2006/relationships/hyperlink" Target="https://estadisticas.bcrp.gob.pe/estadisticas/series/mensuales/resultados/PN01133XM/html" TargetMode="External"/><Relationship Id="rId10" Type="http://schemas.openxmlformats.org/officeDocument/2006/relationships/hyperlink" Target="https://estadisticas.bcrp.gob.pe/estadisticas/series/mensuales/resultados/PN01138XM/html" TargetMode="External"/><Relationship Id="rId4" Type="http://schemas.openxmlformats.org/officeDocument/2006/relationships/hyperlink" Target="https://estadisticas.bcrp.gob.pe/estadisticas/series/mensuales/resultados/PN01132XM/html" TargetMode="External"/><Relationship Id="rId9" Type="http://schemas.openxmlformats.org/officeDocument/2006/relationships/hyperlink" Target="https://estadisticas.bcrp.gob.pe/estadisticas/series/mensuales/resultados/PN01137XM/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54B17-B68D-4BD3-AC6C-762690281438}">
  <dimension ref="A1:O37"/>
  <sheetViews>
    <sheetView zoomScaleNormal="100" workbookViewId="0">
      <selection activeCell="E7" sqref="E7:F32"/>
    </sheetView>
  </sheetViews>
  <sheetFormatPr baseColWidth="10" defaultRowHeight="15"/>
  <cols>
    <col min="1" max="1" width="11.42578125" style="8"/>
    <col min="2" max="3" width="11.42578125" style="1"/>
    <col min="4" max="4" width="15.42578125" style="1" bestFit="1" customWidth="1"/>
    <col min="5" max="5" width="45.85546875" style="5" customWidth="1"/>
    <col min="6" max="6" width="9.5703125" style="1" bestFit="1" customWidth="1"/>
    <col min="7" max="11" width="11.28515625" style="1" bestFit="1" customWidth="1"/>
    <col min="12" max="12" width="11.42578125" style="1"/>
    <col min="13" max="13" width="15.42578125" style="1" bestFit="1" customWidth="1"/>
    <col min="14" max="15" width="14.42578125" style="1" bestFit="1" customWidth="1"/>
    <col min="16" max="16384" width="11.42578125" style="1"/>
  </cols>
  <sheetData>
    <row r="1" spans="2:15" ht="11.25" customHeight="1"/>
    <row r="2" spans="2:15" ht="9" customHeight="1"/>
    <row r="3" spans="2:15" ht="8.25" customHeight="1"/>
    <row r="4" spans="2:15">
      <c r="E4" s="6" t="s">
        <v>298</v>
      </c>
    </row>
    <row r="5" spans="2:15">
      <c r="E5" s="6"/>
    </row>
    <row r="6" spans="2:15">
      <c r="F6" s="9"/>
    </row>
    <row r="7" spans="2:15">
      <c r="D7" s="4"/>
      <c r="E7" s="201" t="s">
        <v>302</v>
      </c>
      <c r="F7" s="202">
        <f>$F$9*$F$11+$F$23*$F$25</f>
        <v>7.3207459159581267E-2</v>
      </c>
      <c r="H7" s="92">
        <f>F23+F9-1</f>
        <v>0</v>
      </c>
      <c r="M7" s="9"/>
      <c r="N7" s="9"/>
      <c r="O7" s="9"/>
    </row>
    <row r="8" spans="2:15">
      <c r="D8" s="4"/>
      <c r="E8" s="201"/>
      <c r="F8" s="203"/>
      <c r="G8" s="9"/>
      <c r="M8" s="9"/>
      <c r="N8" s="9"/>
      <c r="O8" s="9"/>
    </row>
    <row r="9" spans="2:15">
      <c r="B9" s="8"/>
      <c r="E9" s="201" t="s">
        <v>260</v>
      </c>
      <c r="F9" s="204">
        <f>1/($F$29+1)</f>
        <v>0.96426293591334111</v>
      </c>
      <c r="G9" s="10"/>
      <c r="H9" s="12"/>
      <c r="L9" s="11"/>
      <c r="M9" s="7"/>
      <c r="N9" s="7"/>
      <c r="O9" s="7"/>
    </row>
    <row r="10" spans="2:15" ht="4.5" customHeight="1">
      <c r="E10" s="205"/>
      <c r="F10" s="203"/>
    </row>
    <row r="11" spans="2:15">
      <c r="E11" s="201" t="s">
        <v>305</v>
      </c>
      <c r="F11" s="202">
        <f>((1+F15)*(1+F12))/(1+F13)-1</f>
        <v>7.6220346020331231E-2</v>
      </c>
    </row>
    <row r="12" spans="2:15">
      <c r="E12" s="206" t="s">
        <v>307</v>
      </c>
      <c r="F12" s="207">
        <f>SupuestoTipoDeCambioReal!L14</f>
        <v>2.3486614395705763E-3</v>
      </c>
    </row>
    <row r="13" spans="2:15">
      <c r="E13" s="206" t="s">
        <v>301</v>
      </c>
      <c r="F13" s="207">
        <f>SupuestoTipoDeCambioReal!L17</f>
        <v>2.375E-2</v>
      </c>
    </row>
    <row r="14" spans="2:15" ht="4.5" customHeight="1">
      <c r="E14" s="206"/>
      <c r="F14" s="207"/>
      <c r="H14" s="4"/>
      <c r="I14" s="4"/>
      <c r="J14" s="4"/>
      <c r="K14" s="4"/>
    </row>
    <row r="15" spans="2:15">
      <c r="E15" s="201" t="s">
        <v>306</v>
      </c>
      <c r="F15" s="202">
        <f>$F$16+($F$18*$F$20)+$F$21</f>
        <v>9.9198933089748906E-2</v>
      </c>
    </row>
    <row r="16" spans="2:15">
      <c r="D16" s="2"/>
      <c r="E16" s="206" t="s">
        <v>28</v>
      </c>
      <c r="F16" s="208">
        <f>TasaLibreDeRiesgo!$C$4</f>
        <v>5.2128747076616674E-2</v>
      </c>
      <c r="H16" s="12"/>
      <c r="I16" s="12"/>
      <c r="J16" s="12"/>
      <c r="K16" s="12"/>
    </row>
    <row r="17" spans="1:15">
      <c r="A17" s="12"/>
      <c r="D17" s="2"/>
      <c r="E17" s="209" t="s">
        <v>290</v>
      </c>
      <c r="F17" s="210">
        <f>BetaBloombergENAV!B21</f>
        <v>0.48030196078431375</v>
      </c>
      <c r="H17" s="12"/>
      <c r="I17" s="12"/>
      <c r="J17" s="12"/>
      <c r="K17" s="12"/>
    </row>
    <row r="18" spans="1:15">
      <c r="D18" s="2"/>
      <c r="E18" s="206" t="s">
        <v>309</v>
      </c>
      <c r="F18" s="211">
        <f>$F$17*(1+(1-$F$30)*$F$29)</f>
        <v>0.4922239981614589</v>
      </c>
      <c r="H18" s="12"/>
      <c r="I18" s="12"/>
      <c r="J18" s="12"/>
      <c r="K18" s="12"/>
      <c r="L18" s="12"/>
    </row>
    <row r="19" spans="1:15">
      <c r="D19" s="2"/>
      <c r="E19" s="209" t="s">
        <v>29</v>
      </c>
      <c r="F19" s="212">
        <f>RendimientoDelMercado!$C$4</f>
        <v>0.11641421697528424</v>
      </c>
      <c r="H19" s="8"/>
      <c r="I19" s="8"/>
      <c r="J19" s="8"/>
      <c r="K19" s="12"/>
      <c r="L19" s="12"/>
    </row>
    <row r="20" spans="1:15">
      <c r="E20" s="206" t="s">
        <v>33</v>
      </c>
      <c r="F20" s="208">
        <f>RendimientoDelMercado!C8</f>
        <v>6.4285469898667569E-2</v>
      </c>
      <c r="H20" s="8"/>
      <c r="I20" s="8"/>
      <c r="J20" s="147"/>
      <c r="K20" s="12"/>
      <c r="L20" s="12"/>
    </row>
    <row r="21" spans="1:15">
      <c r="D21" s="3"/>
      <c r="E21" s="206" t="s">
        <v>34</v>
      </c>
      <c r="F21" s="208">
        <f>RiesgoPais!$C$4</f>
        <v>1.5427334995921959E-2</v>
      </c>
      <c r="H21" s="8"/>
      <c r="I21" s="8"/>
      <c r="J21" s="8"/>
      <c r="K21" s="12"/>
      <c r="L21" s="12"/>
    </row>
    <row r="22" spans="1:15" ht="4.5" customHeight="1">
      <c r="E22" s="205"/>
      <c r="F22" s="203"/>
      <c r="K22" s="12"/>
      <c r="L22" s="12"/>
    </row>
    <row r="23" spans="1:15">
      <c r="E23" s="201" t="s">
        <v>259</v>
      </c>
      <c r="F23" s="204">
        <f>$F$29/($F$29+1)</f>
        <v>3.573706408665879E-2</v>
      </c>
      <c r="H23" s="7"/>
      <c r="I23" s="7"/>
      <c r="J23" s="7"/>
      <c r="K23" s="12"/>
      <c r="L23" s="12"/>
    </row>
    <row r="24" spans="1:15" ht="4.5" customHeight="1">
      <c r="E24" s="201"/>
      <c r="F24" s="204"/>
      <c r="H24" s="7"/>
      <c r="I24" s="7"/>
      <c r="J24" s="7"/>
      <c r="K24" s="12"/>
      <c r="L24" s="12"/>
    </row>
    <row r="25" spans="1:15">
      <c r="E25" s="201" t="s">
        <v>303</v>
      </c>
      <c r="F25" s="202">
        <f>(1+$F$27*(1-$F$30))/(1+F26)-1</f>
        <v>-8.0867155067154695E-3</v>
      </c>
      <c r="H25" s="8"/>
      <c r="I25" s="8"/>
      <c r="J25" s="8"/>
      <c r="K25" s="12"/>
      <c r="L25" s="8"/>
      <c r="M25" s="7"/>
      <c r="N25" s="7"/>
    </row>
    <row r="26" spans="1:15">
      <c r="E26" s="206" t="s">
        <v>301</v>
      </c>
      <c r="F26" s="207">
        <f>SupuestoTipoDeCambioReal!L17</f>
        <v>2.375E-2</v>
      </c>
      <c r="H26" s="8"/>
      <c r="I26" s="8"/>
      <c r="J26" s="8"/>
      <c r="K26" s="8"/>
      <c r="L26" s="8"/>
      <c r="M26" s="7"/>
      <c r="N26" s="7"/>
    </row>
    <row r="27" spans="1:15">
      <c r="D27" s="4"/>
      <c r="E27" s="206" t="s">
        <v>304</v>
      </c>
      <c r="F27" s="212">
        <f>CostoDeDeuda!G14</f>
        <v>2.3099999999999898E-2</v>
      </c>
      <c r="G27" s="198"/>
      <c r="H27" s="199"/>
      <c r="I27" s="200"/>
      <c r="J27" s="199"/>
      <c r="K27" s="199"/>
      <c r="M27" s="9"/>
      <c r="N27" s="9"/>
      <c r="O27" s="9"/>
    </row>
    <row r="28" spans="1:15" ht="4.5" customHeight="1">
      <c r="E28" s="205"/>
      <c r="F28" s="203"/>
      <c r="H28" s="7"/>
      <c r="I28" s="7"/>
      <c r="J28" s="7"/>
      <c r="K28" s="7"/>
      <c r="L28" s="7"/>
    </row>
    <row r="29" spans="1:15">
      <c r="B29" s="8"/>
      <c r="E29" s="201" t="s">
        <v>97</v>
      </c>
      <c r="F29" s="204">
        <f>DataEstructuraFinanciera!J10</f>
        <v>3.7061534520985158E-2</v>
      </c>
      <c r="K29" s="12"/>
      <c r="L29" s="8"/>
      <c r="M29" s="8"/>
      <c r="N29" s="8"/>
      <c r="O29" s="8"/>
    </row>
    <row r="30" spans="1:15">
      <c r="E30" s="201" t="s">
        <v>98</v>
      </c>
      <c r="F30" s="213">
        <f>1-(1-F31)*(1-F32)</f>
        <v>0.33024999999999993</v>
      </c>
    </row>
    <row r="31" spans="1:15">
      <c r="B31" s="8"/>
      <c r="E31" s="206" t="s">
        <v>99</v>
      </c>
      <c r="F31" s="208">
        <v>0.29499999999999998</v>
      </c>
      <c r="H31" s="10"/>
      <c r="K31" s="3"/>
      <c r="L31" s="8"/>
      <c r="M31" s="7"/>
      <c r="N31" s="7"/>
      <c r="O31" s="7"/>
    </row>
    <row r="32" spans="1:15">
      <c r="E32" s="214" t="s">
        <v>273</v>
      </c>
      <c r="F32" s="215">
        <v>0.05</v>
      </c>
      <c r="H32" s="10"/>
      <c r="K32" s="3"/>
      <c r="L32" s="8"/>
      <c r="M32" s="7"/>
      <c r="N32" s="7"/>
      <c r="O32" s="7"/>
    </row>
    <row r="33" spans="5:15">
      <c r="E33" s="13"/>
      <c r="F33" s="8"/>
      <c r="H33" s="10"/>
      <c r="K33" s="3"/>
      <c r="L33" s="8"/>
      <c r="M33" s="7"/>
      <c r="N33" s="7"/>
      <c r="O33" s="7"/>
    </row>
    <row r="34" spans="5:15">
      <c r="E34" s="13"/>
      <c r="F34" s="8"/>
      <c r="H34" s="10"/>
      <c r="K34" s="3"/>
      <c r="L34" s="8"/>
      <c r="M34" s="7"/>
      <c r="N34" s="7"/>
      <c r="O34" s="7"/>
    </row>
    <row r="35" spans="5:15">
      <c r="E35" s="30"/>
      <c r="F35" s="148"/>
      <c r="H35" s="10"/>
      <c r="I35" s="10"/>
      <c r="J35" s="10"/>
      <c r="K35" s="10"/>
      <c r="L35" s="8"/>
      <c r="M35" s="7"/>
      <c r="N35" s="7"/>
      <c r="O35" s="7"/>
    </row>
    <row r="36" spans="5:15">
      <c r="E36" s="31"/>
      <c r="F36" s="34"/>
      <c r="H36" s="10"/>
      <c r="I36" s="10"/>
      <c r="J36" s="10"/>
      <c r="K36" s="10"/>
      <c r="L36" s="8"/>
      <c r="M36" s="7"/>
      <c r="N36" s="7"/>
      <c r="O36" s="7"/>
    </row>
    <row r="37" spans="5:15">
      <c r="F37" s="10"/>
      <c r="G37" s="10"/>
      <c r="H37" s="10"/>
      <c r="I37" s="10"/>
      <c r="J37" s="10"/>
      <c r="K37" s="10"/>
      <c r="L37" s="8"/>
      <c r="M37" s="7"/>
      <c r="N37" s="7"/>
      <c r="O37" s="7"/>
    </row>
  </sheetData>
  <conditionalFormatting sqref="H7">
    <cfRule type="cellIs" dxfId="15" priority="3" operator="equal">
      <formula>$B$1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122F6-B097-4523-B271-C71624057D9A}">
  <dimension ref="B1:T62"/>
  <sheetViews>
    <sheetView showGridLines="0" topLeftCell="C1" workbookViewId="0">
      <selection activeCell="T8" sqref="T8"/>
    </sheetView>
  </sheetViews>
  <sheetFormatPr baseColWidth="10" defaultColWidth="9.140625" defaultRowHeight="15"/>
  <cols>
    <col min="1" max="1" width="9.140625" style="197" customWidth="1"/>
    <col min="2" max="2" width="63.85546875" style="197" customWidth="1"/>
    <col min="3" max="3" width="6.5703125" style="197" customWidth="1"/>
    <col min="4" max="4" width="10" style="197" customWidth="1"/>
    <col min="5" max="5" width="8.140625" style="197" customWidth="1"/>
    <col min="6" max="6" width="10" style="197" customWidth="1"/>
    <col min="7" max="7" width="6.5703125" style="197" customWidth="1"/>
    <col min="8" max="8" width="11.140625" style="197" customWidth="1"/>
    <col min="9" max="9" width="8.7109375" style="197" customWidth="1"/>
    <col min="10" max="10" width="10.140625" style="197" customWidth="1"/>
    <col min="11" max="11" width="9.28515625" style="197" customWidth="1"/>
    <col min="12" max="12" width="5.7109375" style="197" customWidth="1"/>
    <col min="13" max="13" width="9.42578125" style="197" customWidth="1"/>
    <col min="14" max="14" width="10.5703125" style="197" customWidth="1"/>
    <col min="15" max="15" width="7" style="197" customWidth="1"/>
    <col min="16" max="16" width="7.5703125" style="197" customWidth="1"/>
    <col min="17" max="17" width="5.7109375" style="197" customWidth="1"/>
    <col min="18" max="19" width="13.5703125" style="197" customWidth="1"/>
    <col min="20" max="20" width="10.140625" style="197" customWidth="1"/>
    <col min="21" max="16384" width="9.140625" style="197"/>
  </cols>
  <sheetData>
    <row r="1" spans="2:20">
      <c r="D1" s="197" t="s">
        <v>256</v>
      </c>
    </row>
    <row r="2" spans="2:20">
      <c r="B2" s="229" t="s">
        <v>209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</row>
    <row r="4" spans="2:20">
      <c r="B4" s="229" t="s">
        <v>299</v>
      </c>
      <c r="C4" s="230"/>
      <c r="D4" s="230"/>
      <c r="E4" s="230"/>
      <c r="F4" s="230"/>
      <c r="G4" s="230"/>
      <c r="H4" s="230"/>
      <c r="I4" s="230"/>
      <c r="J4" s="230"/>
      <c r="K4" s="230"/>
      <c r="L4" s="230"/>
    </row>
    <row r="7" spans="2:20">
      <c r="B7" s="181" t="s">
        <v>210</v>
      </c>
      <c r="C7" s="181" t="s">
        <v>211</v>
      </c>
      <c r="D7" s="181" t="s">
        <v>212</v>
      </c>
      <c r="E7" s="181" t="s">
        <v>213</v>
      </c>
      <c r="F7" s="181" t="s">
        <v>214</v>
      </c>
      <c r="G7" s="181" t="s">
        <v>215</v>
      </c>
      <c r="H7" s="181" t="s">
        <v>216</v>
      </c>
      <c r="I7" s="181" t="s">
        <v>217</v>
      </c>
      <c r="J7" s="181" t="s">
        <v>218</v>
      </c>
      <c r="K7" s="181" t="s">
        <v>219</v>
      </c>
      <c r="L7" s="181" t="s">
        <v>220</v>
      </c>
      <c r="M7" s="181" t="s">
        <v>221</v>
      </c>
      <c r="N7" s="181" t="s">
        <v>222</v>
      </c>
      <c r="O7" s="181" t="s">
        <v>223</v>
      </c>
      <c r="P7" s="181" t="s">
        <v>224</v>
      </c>
      <c r="Q7" s="181" t="s">
        <v>225</v>
      </c>
      <c r="R7" s="181" t="s">
        <v>226</v>
      </c>
      <c r="S7" s="181" t="s">
        <v>226</v>
      </c>
      <c r="T7" s="181" t="s">
        <v>227</v>
      </c>
    </row>
    <row r="8" spans="2:20">
      <c r="B8" s="182" t="s">
        <v>228</v>
      </c>
      <c r="C8" s="183">
        <v>2.5</v>
      </c>
      <c r="D8" s="183">
        <v>3.65</v>
      </c>
      <c r="E8" s="183">
        <v>2.21</v>
      </c>
      <c r="F8" s="183">
        <v>4.79</v>
      </c>
      <c r="G8" s="183">
        <v>2.75</v>
      </c>
      <c r="H8" s="183">
        <v>1.71</v>
      </c>
      <c r="I8" s="183">
        <v>1.07</v>
      </c>
      <c r="J8" s="183">
        <v>2.7</v>
      </c>
      <c r="K8" s="184" t="s">
        <v>229</v>
      </c>
      <c r="L8" s="183">
        <v>7.4</v>
      </c>
      <c r="M8" s="184" t="s">
        <v>229</v>
      </c>
      <c r="N8" s="183">
        <v>5.91</v>
      </c>
      <c r="O8" s="184" t="s">
        <v>229</v>
      </c>
      <c r="P8" s="184" t="s">
        <v>229</v>
      </c>
      <c r="Q8" s="183">
        <v>3.74</v>
      </c>
      <c r="R8" s="184" t="s">
        <v>230</v>
      </c>
      <c r="S8" s="184" t="s">
        <v>230</v>
      </c>
      <c r="T8" s="185">
        <v>2.31</v>
      </c>
    </row>
    <row r="9" spans="2:20">
      <c r="B9" s="186" t="s">
        <v>231</v>
      </c>
      <c r="C9" s="187">
        <v>1.76</v>
      </c>
      <c r="D9" s="188" t="s">
        <v>229</v>
      </c>
      <c r="E9" s="187">
        <v>2.12</v>
      </c>
      <c r="F9" s="187">
        <v>4.18</v>
      </c>
      <c r="G9" s="187">
        <v>3.09</v>
      </c>
      <c r="H9" s="187">
        <v>1.69</v>
      </c>
      <c r="I9" s="188" t="s">
        <v>229</v>
      </c>
      <c r="J9" s="187">
        <v>3.91</v>
      </c>
      <c r="K9" s="188" t="s">
        <v>229</v>
      </c>
      <c r="L9" s="188" t="s">
        <v>229</v>
      </c>
      <c r="M9" s="188" t="s">
        <v>229</v>
      </c>
      <c r="N9" s="187">
        <v>5.44</v>
      </c>
      <c r="O9" s="188" t="s">
        <v>229</v>
      </c>
      <c r="P9" s="188" t="s">
        <v>229</v>
      </c>
      <c r="Q9" s="188" t="s">
        <v>229</v>
      </c>
      <c r="R9" s="188" t="s">
        <v>229</v>
      </c>
      <c r="S9" s="188" t="s">
        <v>229</v>
      </c>
      <c r="T9" s="189">
        <v>3.41</v>
      </c>
    </row>
    <row r="10" spans="2:20">
      <c r="B10" s="186" t="s">
        <v>232</v>
      </c>
      <c r="C10" s="187">
        <v>2.2799999999999998</v>
      </c>
      <c r="D10" s="188" t="s">
        <v>229</v>
      </c>
      <c r="E10" s="187">
        <v>1.17</v>
      </c>
      <c r="F10" s="187">
        <v>2.1</v>
      </c>
      <c r="G10" s="187">
        <v>2.78</v>
      </c>
      <c r="H10" s="187">
        <v>0.46</v>
      </c>
      <c r="I10" s="188" t="s">
        <v>229</v>
      </c>
      <c r="J10" s="187">
        <v>1.61</v>
      </c>
      <c r="K10" s="188" t="s">
        <v>229</v>
      </c>
      <c r="L10" s="187">
        <v>35</v>
      </c>
      <c r="M10" s="188" t="s">
        <v>229</v>
      </c>
      <c r="N10" s="187">
        <v>4.7</v>
      </c>
      <c r="O10" s="188" t="s">
        <v>229</v>
      </c>
      <c r="P10" s="188" t="s">
        <v>229</v>
      </c>
      <c r="Q10" s="188" t="s">
        <v>229</v>
      </c>
      <c r="R10" s="188" t="s">
        <v>230</v>
      </c>
      <c r="S10" s="188" t="s">
        <v>230</v>
      </c>
      <c r="T10" s="189">
        <v>1.1299999999999999</v>
      </c>
    </row>
    <row r="11" spans="2:20">
      <c r="B11" s="186" t="s">
        <v>233</v>
      </c>
      <c r="C11" s="187">
        <v>2.16</v>
      </c>
      <c r="D11" s="188" t="s">
        <v>229</v>
      </c>
      <c r="E11" s="187">
        <v>3.81</v>
      </c>
      <c r="F11" s="187">
        <v>9.5</v>
      </c>
      <c r="G11" s="187">
        <v>2.79</v>
      </c>
      <c r="H11" s="187">
        <v>0.88</v>
      </c>
      <c r="I11" s="187">
        <v>1.07</v>
      </c>
      <c r="J11" s="187">
        <v>1.97</v>
      </c>
      <c r="K11" s="188" t="s">
        <v>229</v>
      </c>
      <c r="L11" s="187">
        <v>1.4</v>
      </c>
      <c r="M11" s="188" t="s">
        <v>229</v>
      </c>
      <c r="N11" s="187">
        <v>6.96</v>
      </c>
      <c r="O11" s="188" t="s">
        <v>229</v>
      </c>
      <c r="P11" s="188" t="s">
        <v>229</v>
      </c>
      <c r="Q11" s="187">
        <v>3.74</v>
      </c>
      <c r="R11" s="188" t="s">
        <v>229</v>
      </c>
      <c r="S11" s="188" t="s">
        <v>229</v>
      </c>
      <c r="T11" s="189">
        <v>3.04</v>
      </c>
    </row>
    <row r="12" spans="2:20">
      <c r="B12" s="186" t="s">
        <v>234</v>
      </c>
      <c r="C12" s="187">
        <v>2.0699999999999998</v>
      </c>
      <c r="D12" s="187">
        <v>3.65</v>
      </c>
      <c r="E12" s="187">
        <v>1.44</v>
      </c>
      <c r="F12" s="187">
        <v>5</v>
      </c>
      <c r="G12" s="187">
        <v>2.72</v>
      </c>
      <c r="H12" s="187">
        <v>1.1000000000000001</v>
      </c>
      <c r="I12" s="188" t="s">
        <v>229</v>
      </c>
      <c r="J12" s="187">
        <v>2.57</v>
      </c>
      <c r="K12" s="188" t="s">
        <v>229</v>
      </c>
      <c r="L12" s="187">
        <v>2.1</v>
      </c>
      <c r="M12" s="188" t="s">
        <v>229</v>
      </c>
      <c r="N12" s="187">
        <v>3.04</v>
      </c>
      <c r="O12" s="188" t="s">
        <v>229</v>
      </c>
      <c r="P12" s="188" t="s">
        <v>229</v>
      </c>
      <c r="Q12" s="187">
        <v>0.86</v>
      </c>
      <c r="R12" s="188" t="s">
        <v>230</v>
      </c>
      <c r="S12" s="188" t="s">
        <v>230</v>
      </c>
      <c r="T12" s="189">
        <v>1.85</v>
      </c>
    </row>
    <row r="13" spans="2:20">
      <c r="B13" s="186" t="s">
        <v>235</v>
      </c>
      <c r="C13" s="188" t="s">
        <v>229</v>
      </c>
      <c r="D13" s="188" t="s">
        <v>229</v>
      </c>
      <c r="E13" s="187">
        <v>1.82</v>
      </c>
      <c r="F13" s="188" t="s">
        <v>229</v>
      </c>
      <c r="G13" s="187">
        <v>1.02</v>
      </c>
      <c r="H13" s="187">
        <v>0.76</v>
      </c>
      <c r="I13" s="188" t="s">
        <v>229</v>
      </c>
      <c r="J13" s="188" t="s">
        <v>229</v>
      </c>
      <c r="K13" s="188" t="s">
        <v>229</v>
      </c>
      <c r="L13" s="188" t="s">
        <v>229</v>
      </c>
      <c r="M13" s="188" t="s">
        <v>229</v>
      </c>
      <c r="N13" s="187">
        <v>7.4</v>
      </c>
      <c r="O13" s="188" t="s">
        <v>229</v>
      </c>
      <c r="P13" s="188" t="s">
        <v>229</v>
      </c>
      <c r="Q13" s="188" t="s">
        <v>229</v>
      </c>
      <c r="R13" s="188" t="s">
        <v>229</v>
      </c>
      <c r="S13" s="188" t="s">
        <v>229</v>
      </c>
      <c r="T13" s="189">
        <v>1.65</v>
      </c>
    </row>
    <row r="14" spans="2:20">
      <c r="B14" s="186" t="s">
        <v>236</v>
      </c>
      <c r="C14" s="187">
        <v>3.15</v>
      </c>
      <c r="D14" s="188" t="s">
        <v>229</v>
      </c>
      <c r="E14" s="187">
        <v>2.52</v>
      </c>
      <c r="F14" s="188" t="s">
        <v>229</v>
      </c>
      <c r="G14" s="188" t="s">
        <v>229</v>
      </c>
      <c r="H14" s="187">
        <v>2.93</v>
      </c>
      <c r="I14" s="188" t="s">
        <v>229</v>
      </c>
      <c r="J14" s="187">
        <v>3.35</v>
      </c>
      <c r="K14" s="188" t="s">
        <v>229</v>
      </c>
      <c r="L14" s="188" t="s">
        <v>229</v>
      </c>
      <c r="M14" s="188" t="s">
        <v>229</v>
      </c>
      <c r="N14" s="187">
        <v>7.37</v>
      </c>
      <c r="O14" s="188" t="s">
        <v>229</v>
      </c>
      <c r="P14" s="188" t="s">
        <v>229</v>
      </c>
      <c r="Q14" s="187">
        <v>4.26</v>
      </c>
      <c r="R14" s="188" t="s">
        <v>230</v>
      </c>
      <c r="S14" s="188" t="s">
        <v>230</v>
      </c>
      <c r="T14" s="189">
        <v>2.97</v>
      </c>
    </row>
    <row r="15" spans="2:20">
      <c r="B15" s="190" t="s">
        <v>237</v>
      </c>
      <c r="C15" s="187">
        <v>5.47</v>
      </c>
      <c r="D15" s="187">
        <v>8.86</v>
      </c>
      <c r="E15" s="187">
        <v>2.87</v>
      </c>
      <c r="F15" s="187">
        <v>4.5199999999999996</v>
      </c>
      <c r="G15" s="187">
        <v>5.0999999999999996</v>
      </c>
      <c r="H15" s="187">
        <v>2.67</v>
      </c>
      <c r="I15" s="187">
        <v>1.1100000000000001</v>
      </c>
      <c r="J15" s="187">
        <v>3.16</v>
      </c>
      <c r="K15" s="188" t="s">
        <v>229</v>
      </c>
      <c r="L15" s="187">
        <v>3.1</v>
      </c>
      <c r="M15" s="188" t="s">
        <v>229</v>
      </c>
      <c r="N15" s="187">
        <v>6.3</v>
      </c>
      <c r="O15" s="188" t="s">
        <v>229</v>
      </c>
      <c r="P15" s="188" t="s">
        <v>229</v>
      </c>
      <c r="Q15" s="187">
        <v>0.97</v>
      </c>
      <c r="R15" s="188" t="s">
        <v>229</v>
      </c>
      <c r="S15" s="188" t="s">
        <v>229</v>
      </c>
      <c r="T15" s="189">
        <v>3.43</v>
      </c>
    </row>
    <row r="16" spans="2:20">
      <c r="B16" s="186" t="s">
        <v>231</v>
      </c>
      <c r="C16" s="187">
        <v>7.87</v>
      </c>
      <c r="D16" s="188" t="s">
        <v>229</v>
      </c>
      <c r="E16" s="187">
        <v>4.95</v>
      </c>
      <c r="F16" s="187">
        <v>5.68</v>
      </c>
      <c r="G16" s="187">
        <v>4.97</v>
      </c>
      <c r="H16" s="187">
        <v>3.5</v>
      </c>
      <c r="I16" s="188" t="s">
        <v>229</v>
      </c>
      <c r="J16" s="187">
        <v>4.7699999999999996</v>
      </c>
      <c r="K16" s="188" t="s">
        <v>229</v>
      </c>
      <c r="L16" s="188" t="s">
        <v>229</v>
      </c>
      <c r="M16" s="188" t="s">
        <v>229</v>
      </c>
      <c r="N16" s="187">
        <v>5.31</v>
      </c>
      <c r="O16" s="188" t="s">
        <v>229</v>
      </c>
      <c r="P16" s="188" t="s">
        <v>229</v>
      </c>
      <c r="Q16" s="188" t="s">
        <v>229</v>
      </c>
      <c r="R16" s="188" t="s">
        <v>230</v>
      </c>
      <c r="S16" s="188" t="s">
        <v>230</v>
      </c>
      <c r="T16" s="189">
        <v>5.34</v>
      </c>
    </row>
    <row r="17" spans="2:20">
      <c r="B17" s="186" t="s">
        <v>232</v>
      </c>
      <c r="C17" s="187">
        <v>6.15</v>
      </c>
      <c r="D17" s="188" t="s">
        <v>229</v>
      </c>
      <c r="E17" s="187">
        <v>3.12</v>
      </c>
      <c r="F17" s="187">
        <v>2.21</v>
      </c>
      <c r="G17" s="187">
        <v>2.58</v>
      </c>
      <c r="H17" s="187">
        <v>2.2200000000000002</v>
      </c>
      <c r="I17" s="187">
        <v>3.8</v>
      </c>
      <c r="J17" s="187">
        <v>5.83</v>
      </c>
      <c r="K17" s="188" t="s">
        <v>229</v>
      </c>
      <c r="L17" s="188" t="s">
        <v>229</v>
      </c>
      <c r="M17" s="188" t="s">
        <v>229</v>
      </c>
      <c r="N17" s="187">
        <v>4.38</v>
      </c>
      <c r="O17" s="188" t="s">
        <v>229</v>
      </c>
      <c r="P17" s="188" t="s">
        <v>229</v>
      </c>
      <c r="Q17" s="188" t="s">
        <v>229</v>
      </c>
      <c r="R17" s="188" t="s">
        <v>229</v>
      </c>
      <c r="S17" s="188" t="s">
        <v>229</v>
      </c>
      <c r="T17" s="189">
        <v>3.38</v>
      </c>
    </row>
    <row r="18" spans="2:20">
      <c r="B18" s="186" t="s">
        <v>233</v>
      </c>
      <c r="C18" s="187">
        <v>4.88</v>
      </c>
      <c r="D18" s="187">
        <v>6.9</v>
      </c>
      <c r="E18" s="187">
        <v>3.24</v>
      </c>
      <c r="F18" s="187">
        <v>4.29</v>
      </c>
      <c r="G18" s="187">
        <v>5.66</v>
      </c>
      <c r="H18" s="187">
        <v>2.77</v>
      </c>
      <c r="I18" s="187">
        <v>0.79</v>
      </c>
      <c r="J18" s="187">
        <v>4.25</v>
      </c>
      <c r="K18" s="188" t="s">
        <v>229</v>
      </c>
      <c r="L18" s="187">
        <v>3.1</v>
      </c>
      <c r="M18" s="188" t="s">
        <v>229</v>
      </c>
      <c r="N18" s="187">
        <v>6.66</v>
      </c>
      <c r="O18" s="188" t="s">
        <v>229</v>
      </c>
      <c r="P18" s="188" t="s">
        <v>229</v>
      </c>
      <c r="Q18" s="188" t="s">
        <v>229</v>
      </c>
      <c r="R18" s="188" t="s">
        <v>230</v>
      </c>
      <c r="S18" s="188" t="s">
        <v>230</v>
      </c>
      <c r="T18" s="189">
        <v>3.43</v>
      </c>
    </row>
    <row r="19" spans="2:20">
      <c r="B19" s="186" t="s">
        <v>234</v>
      </c>
      <c r="C19" s="187">
        <v>5.26</v>
      </c>
      <c r="D19" s="187">
        <v>10</v>
      </c>
      <c r="E19" s="187">
        <v>3.24</v>
      </c>
      <c r="F19" s="187">
        <v>5.2</v>
      </c>
      <c r="G19" s="187">
        <v>6.1</v>
      </c>
      <c r="H19" s="187">
        <v>3.38</v>
      </c>
      <c r="I19" s="187">
        <v>3.91</v>
      </c>
      <c r="J19" s="187">
        <v>2.74</v>
      </c>
      <c r="K19" s="188" t="s">
        <v>229</v>
      </c>
      <c r="L19" s="188" t="s">
        <v>229</v>
      </c>
      <c r="M19" s="188" t="s">
        <v>229</v>
      </c>
      <c r="N19" s="187">
        <v>5.46</v>
      </c>
      <c r="O19" s="188" t="s">
        <v>229</v>
      </c>
      <c r="P19" s="188" t="s">
        <v>229</v>
      </c>
      <c r="Q19" s="187">
        <v>0.97</v>
      </c>
      <c r="R19" s="188" t="s">
        <v>229</v>
      </c>
      <c r="S19" s="188" t="s">
        <v>229</v>
      </c>
      <c r="T19" s="189">
        <v>3.97</v>
      </c>
    </row>
    <row r="20" spans="2:20">
      <c r="B20" s="186" t="s">
        <v>235</v>
      </c>
      <c r="C20" s="187">
        <v>6.12</v>
      </c>
      <c r="D20" s="188" t="s">
        <v>229</v>
      </c>
      <c r="E20" s="187">
        <v>2.29</v>
      </c>
      <c r="F20" s="187">
        <v>8.81</v>
      </c>
      <c r="G20" s="187">
        <v>3.93</v>
      </c>
      <c r="H20" s="187">
        <v>1.29</v>
      </c>
      <c r="I20" s="188" t="s">
        <v>229</v>
      </c>
      <c r="J20" s="187">
        <v>0.98</v>
      </c>
      <c r="K20" s="188" t="s">
        <v>229</v>
      </c>
      <c r="L20" s="188" t="s">
        <v>229</v>
      </c>
      <c r="M20" s="188" t="s">
        <v>229</v>
      </c>
      <c r="N20" s="187">
        <v>6.87</v>
      </c>
      <c r="O20" s="188" t="s">
        <v>229</v>
      </c>
      <c r="P20" s="188" t="s">
        <v>229</v>
      </c>
      <c r="Q20" s="188" t="s">
        <v>229</v>
      </c>
      <c r="R20" s="188" t="s">
        <v>230</v>
      </c>
      <c r="S20" s="188" t="s">
        <v>230</v>
      </c>
      <c r="T20" s="189">
        <v>3.58</v>
      </c>
    </row>
    <row r="21" spans="2:20">
      <c r="B21" s="186" t="s">
        <v>236</v>
      </c>
      <c r="C21" s="187">
        <v>4.28</v>
      </c>
      <c r="D21" s="188" t="s">
        <v>229</v>
      </c>
      <c r="E21" s="187">
        <v>2.44</v>
      </c>
      <c r="F21" s="188" t="s">
        <v>229</v>
      </c>
      <c r="G21" s="187">
        <v>5.82</v>
      </c>
      <c r="H21" s="187">
        <v>2.4900000000000002</v>
      </c>
      <c r="I21" s="188" t="s">
        <v>229</v>
      </c>
      <c r="J21" s="187">
        <v>1.06</v>
      </c>
      <c r="K21" s="188" t="s">
        <v>229</v>
      </c>
      <c r="L21" s="188" t="s">
        <v>229</v>
      </c>
      <c r="M21" s="188" t="s">
        <v>229</v>
      </c>
      <c r="N21" s="187">
        <v>7.24</v>
      </c>
      <c r="O21" s="188" t="s">
        <v>229</v>
      </c>
      <c r="P21" s="188" t="s">
        <v>229</v>
      </c>
      <c r="Q21" s="188" t="s">
        <v>229</v>
      </c>
      <c r="R21" s="188" t="s">
        <v>229</v>
      </c>
      <c r="S21" s="188" t="s">
        <v>229</v>
      </c>
      <c r="T21" s="189">
        <v>2.72</v>
      </c>
    </row>
    <row r="22" spans="2:20">
      <c r="B22" s="190" t="s">
        <v>238</v>
      </c>
      <c r="C22" s="187">
        <v>8.8000000000000007</v>
      </c>
      <c r="D22" s="187">
        <v>9.77</v>
      </c>
      <c r="E22" s="187">
        <v>3.73</v>
      </c>
      <c r="F22" s="187">
        <v>7.66</v>
      </c>
      <c r="G22" s="187">
        <v>7.22</v>
      </c>
      <c r="H22" s="187">
        <v>8.01</v>
      </c>
      <c r="I22" s="187">
        <v>1.99</v>
      </c>
      <c r="J22" s="187">
        <v>6.94</v>
      </c>
      <c r="K22" s="187">
        <v>15.08</v>
      </c>
      <c r="L22" s="187">
        <v>4.8</v>
      </c>
      <c r="M22" s="188" t="s">
        <v>229</v>
      </c>
      <c r="N22" s="187">
        <v>7.48</v>
      </c>
      <c r="O22" s="188" t="s">
        <v>229</v>
      </c>
      <c r="P22" s="188" t="s">
        <v>229</v>
      </c>
      <c r="Q22" s="188" t="s">
        <v>229</v>
      </c>
      <c r="R22" s="188" t="s">
        <v>230</v>
      </c>
      <c r="S22" s="188" t="s">
        <v>230</v>
      </c>
      <c r="T22" s="189">
        <v>5.33</v>
      </c>
    </row>
    <row r="23" spans="2:20">
      <c r="B23" s="186" t="s">
        <v>231</v>
      </c>
      <c r="C23" s="187">
        <v>10.68</v>
      </c>
      <c r="D23" s="187">
        <v>17.38</v>
      </c>
      <c r="E23" s="187">
        <v>7.85</v>
      </c>
      <c r="F23" s="187">
        <v>8.31</v>
      </c>
      <c r="G23" s="187">
        <v>8.14</v>
      </c>
      <c r="H23" s="187">
        <v>6.89</v>
      </c>
      <c r="I23" s="188" t="s">
        <v>229</v>
      </c>
      <c r="J23" s="187">
        <v>5.72</v>
      </c>
      <c r="K23" s="188" t="s">
        <v>229</v>
      </c>
      <c r="L23" s="188" t="s">
        <v>229</v>
      </c>
      <c r="M23" s="188" t="s">
        <v>229</v>
      </c>
      <c r="N23" s="187">
        <v>5.0999999999999996</v>
      </c>
      <c r="O23" s="188" t="s">
        <v>229</v>
      </c>
      <c r="P23" s="188" t="s">
        <v>229</v>
      </c>
      <c r="Q23" s="188" t="s">
        <v>229</v>
      </c>
      <c r="R23" s="188" t="s">
        <v>229</v>
      </c>
      <c r="S23" s="188" t="s">
        <v>229</v>
      </c>
      <c r="T23" s="189">
        <v>8.06</v>
      </c>
    </row>
    <row r="24" spans="2:20">
      <c r="B24" s="186" t="s">
        <v>232</v>
      </c>
      <c r="C24" s="187">
        <v>8.5</v>
      </c>
      <c r="D24" s="187">
        <v>9</v>
      </c>
      <c r="E24" s="187">
        <v>5.93</v>
      </c>
      <c r="F24" s="187">
        <v>4.67</v>
      </c>
      <c r="G24" s="187">
        <v>8.76</v>
      </c>
      <c r="H24" s="187">
        <v>5.03</v>
      </c>
      <c r="I24" s="188" t="s">
        <v>229</v>
      </c>
      <c r="J24" s="187">
        <v>3.98</v>
      </c>
      <c r="K24" s="188" t="s">
        <v>229</v>
      </c>
      <c r="L24" s="188" t="s">
        <v>229</v>
      </c>
      <c r="M24" s="188" t="s">
        <v>229</v>
      </c>
      <c r="N24" s="188" t="s">
        <v>229</v>
      </c>
      <c r="O24" s="188" t="s">
        <v>229</v>
      </c>
      <c r="P24" s="188" t="s">
        <v>229</v>
      </c>
      <c r="Q24" s="188" t="s">
        <v>229</v>
      </c>
      <c r="R24" s="188" t="s">
        <v>230</v>
      </c>
      <c r="S24" s="188" t="s">
        <v>230</v>
      </c>
      <c r="T24" s="189">
        <v>6.1</v>
      </c>
    </row>
    <row r="25" spans="2:20">
      <c r="B25" s="186" t="s">
        <v>233</v>
      </c>
      <c r="C25" s="187">
        <v>8.65</v>
      </c>
      <c r="D25" s="187">
        <v>8.08</v>
      </c>
      <c r="E25" s="187">
        <v>7.56</v>
      </c>
      <c r="F25" s="187">
        <v>6.67</v>
      </c>
      <c r="G25" s="187">
        <v>7.04</v>
      </c>
      <c r="H25" s="187">
        <v>7.42</v>
      </c>
      <c r="I25" s="187">
        <v>4.34</v>
      </c>
      <c r="J25" s="187">
        <v>6.58</v>
      </c>
      <c r="K25" s="187">
        <v>20.04</v>
      </c>
      <c r="L25" s="187">
        <v>4.8</v>
      </c>
      <c r="M25" s="188" t="s">
        <v>229</v>
      </c>
      <c r="N25" s="187">
        <v>5.51</v>
      </c>
      <c r="O25" s="188" t="s">
        <v>229</v>
      </c>
      <c r="P25" s="188" t="s">
        <v>229</v>
      </c>
      <c r="Q25" s="188" t="s">
        <v>229</v>
      </c>
      <c r="R25" s="188" t="s">
        <v>229</v>
      </c>
      <c r="S25" s="188" t="s">
        <v>229</v>
      </c>
      <c r="T25" s="189">
        <v>7.72</v>
      </c>
    </row>
    <row r="26" spans="2:20">
      <c r="B26" s="186" t="s">
        <v>234</v>
      </c>
      <c r="C26" s="187">
        <v>8.93</v>
      </c>
      <c r="D26" s="187">
        <v>8.51</v>
      </c>
      <c r="E26" s="187">
        <v>7.75</v>
      </c>
      <c r="F26" s="187">
        <v>7.5</v>
      </c>
      <c r="G26" s="187">
        <v>8.0500000000000007</v>
      </c>
      <c r="H26" s="187">
        <v>6.81</v>
      </c>
      <c r="I26" s="188" t="s">
        <v>229</v>
      </c>
      <c r="J26" s="187">
        <v>5.13</v>
      </c>
      <c r="K26" s="187">
        <v>16.809999999999999</v>
      </c>
      <c r="L26" s="188" t="s">
        <v>229</v>
      </c>
      <c r="M26" s="188" t="s">
        <v>229</v>
      </c>
      <c r="N26" s="187">
        <v>7.05</v>
      </c>
      <c r="O26" s="188" t="s">
        <v>229</v>
      </c>
      <c r="P26" s="188" t="s">
        <v>229</v>
      </c>
      <c r="Q26" s="188" t="s">
        <v>229</v>
      </c>
      <c r="R26" s="188" t="s">
        <v>230</v>
      </c>
      <c r="S26" s="188" t="s">
        <v>230</v>
      </c>
      <c r="T26" s="189">
        <v>7.83</v>
      </c>
    </row>
    <row r="27" spans="2:20">
      <c r="B27" s="186" t="s">
        <v>235</v>
      </c>
      <c r="C27" s="187">
        <v>9.48</v>
      </c>
      <c r="D27" s="187">
        <v>9</v>
      </c>
      <c r="E27" s="187">
        <v>6.18</v>
      </c>
      <c r="F27" s="187">
        <v>9.09</v>
      </c>
      <c r="G27" s="187">
        <v>9.4700000000000006</v>
      </c>
      <c r="H27" s="187">
        <v>8.75</v>
      </c>
      <c r="I27" s="187">
        <v>1.32</v>
      </c>
      <c r="J27" s="187">
        <v>14.57</v>
      </c>
      <c r="K27" s="187">
        <v>17.170000000000002</v>
      </c>
      <c r="L27" s="188" t="s">
        <v>229</v>
      </c>
      <c r="M27" s="188" t="s">
        <v>229</v>
      </c>
      <c r="N27" s="188" t="s">
        <v>229</v>
      </c>
      <c r="O27" s="188" t="s">
        <v>229</v>
      </c>
      <c r="P27" s="188" t="s">
        <v>229</v>
      </c>
      <c r="Q27" s="188" t="s">
        <v>229</v>
      </c>
      <c r="R27" s="188" t="s">
        <v>229</v>
      </c>
      <c r="S27" s="188" t="s">
        <v>229</v>
      </c>
      <c r="T27" s="189">
        <v>7.33</v>
      </c>
    </row>
    <row r="28" spans="2:20">
      <c r="B28" s="186" t="s">
        <v>236</v>
      </c>
      <c r="C28" s="187">
        <v>8.11</v>
      </c>
      <c r="D28" s="187">
        <v>7.72</v>
      </c>
      <c r="E28" s="187">
        <v>2.83</v>
      </c>
      <c r="F28" s="187">
        <v>15.88</v>
      </c>
      <c r="G28" s="187">
        <v>6.53</v>
      </c>
      <c r="H28" s="187">
        <v>8.8000000000000007</v>
      </c>
      <c r="I28" s="187">
        <v>3.52</v>
      </c>
      <c r="J28" s="187">
        <v>13.19</v>
      </c>
      <c r="K28" s="187">
        <v>14.34</v>
      </c>
      <c r="L28" s="188" t="s">
        <v>229</v>
      </c>
      <c r="M28" s="188" t="s">
        <v>229</v>
      </c>
      <c r="N28" s="187">
        <v>8</v>
      </c>
      <c r="O28" s="188" t="s">
        <v>229</v>
      </c>
      <c r="P28" s="188" t="s">
        <v>229</v>
      </c>
      <c r="Q28" s="188" t="s">
        <v>229</v>
      </c>
      <c r="R28" s="188" t="s">
        <v>230</v>
      </c>
      <c r="S28" s="188" t="s">
        <v>230</v>
      </c>
      <c r="T28" s="189">
        <v>4.1399999999999997</v>
      </c>
    </row>
    <row r="29" spans="2:20">
      <c r="B29" s="190" t="s">
        <v>239</v>
      </c>
      <c r="C29" s="187">
        <v>13.35</v>
      </c>
      <c r="D29" s="187">
        <v>10.02</v>
      </c>
      <c r="E29" s="187">
        <v>15.75</v>
      </c>
      <c r="F29" s="187">
        <v>20.309999999999999</v>
      </c>
      <c r="G29" s="187">
        <v>11</v>
      </c>
      <c r="H29" s="187">
        <v>13.55</v>
      </c>
      <c r="I29" s="188" t="s">
        <v>229</v>
      </c>
      <c r="J29" s="187">
        <v>15.68</v>
      </c>
      <c r="K29" s="187">
        <v>21.1</v>
      </c>
      <c r="L29" s="188" t="s">
        <v>229</v>
      </c>
      <c r="M29" s="188" t="s">
        <v>229</v>
      </c>
      <c r="N29" s="188" t="s">
        <v>229</v>
      </c>
      <c r="O29" s="188" t="s">
        <v>229</v>
      </c>
      <c r="P29" s="188" t="s">
        <v>229</v>
      </c>
      <c r="Q29" s="188" t="s">
        <v>229</v>
      </c>
      <c r="R29" s="188" t="s">
        <v>229</v>
      </c>
      <c r="S29" s="188" t="s">
        <v>229</v>
      </c>
      <c r="T29" s="189">
        <v>17.93</v>
      </c>
    </row>
    <row r="30" spans="2:20">
      <c r="B30" s="186" t="s">
        <v>231</v>
      </c>
      <c r="C30" s="187">
        <v>12.38</v>
      </c>
      <c r="D30" s="188" t="s">
        <v>229</v>
      </c>
      <c r="E30" s="187">
        <v>16.41</v>
      </c>
      <c r="F30" s="187">
        <v>21.33</v>
      </c>
      <c r="G30" s="187">
        <v>11.8</v>
      </c>
      <c r="H30" s="187">
        <v>9.99</v>
      </c>
      <c r="I30" s="188" t="s">
        <v>229</v>
      </c>
      <c r="J30" s="187">
        <v>8.33</v>
      </c>
      <c r="K30" s="188" t="s">
        <v>229</v>
      </c>
      <c r="L30" s="188" t="s">
        <v>229</v>
      </c>
      <c r="M30" s="188" t="s">
        <v>229</v>
      </c>
      <c r="N30" s="188" t="s">
        <v>229</v>
      </c>
      <c r="O30" s="188" t="s">
        <v>229</v>
      </c>
      <c r="P30" s="188" t="s">
        <v>229</v>
      </c>
      <c r="Q30" s="188" t="s">
        <v>229</v>
      </c>
      <c r="R30" s="188" t="s">
        <v>230</v>
      </c>
      <c r="S30" s="188" t="s">
        <v>230</v>
      </c>
      <c r="T30" s="189">
        <v>14.44</v>
      </c>
    </row>
    <row r="31" spans="2:20">
      <c r="B31" s="186" t="s">
        <v>232</v>
      </c>
      <c r="C31" s="187">
        <v>12.49</v>
      </c>
      <c r="D31" s="188" t="s">
        <v>229</v>
      </c>
      <c r="E31" s="187">
        <v>9.69</v>
      </c>
      <c r="F31" s="188" t="s">
        <v>229</v>
      </c>
      <c r="G31" s="188" t="s">
        <v>229</v>
      </c>
      <c r="H31" s="187">
        <v>12.07</v>
      </c>
      <c r="I31" s="188" t="s">
        <v>229</v>
      </c>
      <c r="J31" s="188" t="s">
        <v>229</v>
      </c>
      <c r="K31" s="187">
        <v>36.83</v>
      </c>
      <c r="L31" s="188" t="s">
        <v>229</v>
      </c>
      <c r="M31" s="188" t="s">
        <v>229</v>
      </c>
      <c r="N31" s="188" t="s">
        <v>229</v>
      </c>
      <c r="O31" s="188" t="s">
        <v>229</v>
      </c>
      <c r="P31" s="188" t="s">
        <v>229</v>
      </c>
      <c r="Q31" s="188" t="s">
        <v>229</v>
      </c>
      <c r="R31" s="188" t="s">
        <v>229</v>
      </c>
      <c r="S31" s="188" t="s">
        <v>229</v>
      </c>
      <c r="T31" s="189">
        <v>12.02</v>
      </c>
    </row>
    <row r="32" spans="2:20">
      <c r="B32" s="186" t="s">
        <v>233</v>
      </c>
      <c r="C32" s="187">
        <v>14.06</v>
      </c>
      <c r="D32" s="187">
        <v>16</v>
      </c>
      <c r="E32" s="187">
        <v>8.2100000000000009</v>
      </c>
      <c r="F32" s="187">
        <v>21.48</v>
      </c>
      <c r="G32" s="187">
        <v>9</v>
      </c>
      <c r="H32" s="187">
        <v>10.84</v>
      </c>
      <c r="I32" s="188" t="s">
        <v>229</v>
      </c>
      <c r="J32" s="187">
        <v>6.76</v>
      </c>
      <c r="K32" s="187">
        <v>36.43</v>
      </c>
      <c r="L32" s="188" t="s">
        <v>229</v>
      </c>
      <c r="M32" s="188" t="s">
        <v>229</v>
      </c>
      <c r="N32" s="188" t="s">
        <v>229</v>
      </c>
      <c r="O32" s="188" t="s">
        <v>229</v>
      </c>
      <c r="P32" s="188" t="s">
        <v>229</v>
      </c>
      <c r="Q32" s="188" t="s">
        <v>229</v>
      </c>
      <c r="R32" s="188" t="s">
        <v>230</v>
      </c>
      <c r="S32" s="188" t="s">
        <v>230</v>
      </c>
      <c r="T32" s="189">
        <v>17.43</v>
      </c>
    </row>
    <row r="33" spans="2:20">
      <c r="B33" s="186" t="s">
        <v>234</v>
      </c>
      <c r="C33" s="187">
        <v>13.61</v>
      </c>
      <c r="D33" s="188" t="s">
        <v>229</v>
      </c>
      <c r="E33" s="187">
        <v>17.37</v>
      </c>
      <c r="F33" s="187">
        <v>20.440000000000001</v>
      </c>
      <c r="G33" s="187">
        <v>7.65</v>
      </c>
      <c r="H33" s="187">
        <v>10.16</v>
      </c>
      <c r="I33" s="188" t="s">
        <v>229</v>
      </c>
      <c r="J33" s="187">
        <v>18.239999999999998</v>
      </c>
      <c r="K33" s="187">
        <v>32.119999999999997</v>
      </c>
      <c r="L33" s="188" t="s">
        <v>229</v>
      </c>
      <c r="M33" s="188" t="s">
        <v>229</v>
      </c>
      <c r="N33" s="188" t="s">
        <v>229</v>
      </c>
      <c r="O33" s="188" t="s">
        <v>229</v>
      </c>
      <c r="P33" s="188" t="s">
        <v>229</v>
      </c>
      <c r="Q33" s="188" t="s">
        <v>229</v>
      </c>
      <c r="R33" s="188" t="s">
        <v>229</v>
      </c>
      <c r="S33" s="188" t="s">
        <v>229</v>
      </c>
      <c r="T33" s="189">
        <v>23.3</v>
      </c>
    </row>
    <row r="34" spans="2:20">
      <c r="B34" s="186" t="s">
        <v>235</v>
      </c>
      <c r="C34" s="187">
        <v>14.5</v>
      </c>
      <c r="D34" s="187">
        <v>6</v>
      </c>
      <c r="E34" s="187">
        <v>21.43</v>
      </c>
      <c r="F34" s="187">
        <v>24.13</v>
      </c>
      <c r="G34" s="187">
        <v>13.63</v>
      </c>
      <c r="H34" s="187">
        <v>14.22</v>
      </c>
      <c r="I34" s="188" t="s">
        <v>229</v>
      </c>
      <c r="J34" s="187">
        <v>26.56</v>
      </c>
      <c r="K34" s="187">
        <v>25.57</v>
      </c>
      <c r="L34" s="188" t="s">
        <v>229</v>
      </c>
      <c r="M34" s="188" t="s">
        <v>229</v>
      </c>
      <c r="N34" s="188" t="s">
        <v>229</v>
      </c>
      <c r="O34" s="188" t="s">
        <v>229</v>
      </c>
      <c r="P34" s="188" t="s">
        <v>229</v>
      </c>
      <c r="Q34" s="188" t="s">
        <v>229</v>
      </c>
      <c r="R34" s="188" t="s">
        <v>230</v>
      </c>
      <c r="S34" s="188" t="s">
        <v>230</v>
      </c>
      <c r="T34" s="189">
        <v>23.99</v>
      </c>
    </row>
    <row r="35" spans="2:20">
      <c r="B35" s="186" t="s">
        <v>236</v>
      </c>
      <c r="C35" s="187">
        <v>13.05</v>
      </c>
      <c r="D35" s="188" t="s">
        <v>229</v>
      </c>
      <c r="E35" s="187">
        <v>15.78</v>
      </c>
      <c r="F35" s="187">
        <v>20.16</v>
      </c>
      <c r="G35" s="188" t="s">
        <v>229</v>
      </c>
      <c r="H35" s="187">
        <v>13.67</v>
      </c>
      <c r="I35" s="188" t="s">
        <v>229</v>
      </c>
      <c r="J35" s="187">
        <v>15.77</v>
      </c>
      <c r="K35" s="187">
        <v>19.37</v>
      </c>
      <c r="L35" s="188" t="s">
        <v>229</v>
      </c>
      <c r="M35" s="188" t="s">
        <v>229</v>
      </c>
      <c r="N35" s="188" t="s">
        <v>229</v>
      </c>
      <c r="O35" s="188" t="s">
        <v>229</v>
      </c>
      <c r="P35" s="188" t="s">
        <v>229</v>
      </c>
      <c r="Q35" s="188" t="s">
        <v>229</v>
      </c>
      <c r="R35" s="188" t="s">
        <v>229</v>
      </c>
      <c r="S35" s="188" t="s">
        <v>229</v>
      </c>
      <c r="T35" s="189">
        <v>17</v>
      </c>
    </row>
    <row r="36" spans="2:20">
      <c r="B36" s="190" t="s">
        <v>240</v>
      </c>
      <c r="C36" s="187">
        <v>25.89</v>
      </c>
      <c r="D36" s="187">
        <v>12</v>
      </c>
      <c r="E36" s="187">
        <v>20.21</v>
      </c>
      <c r="F36" s="187">
        <v>28.75</v>
      </c>
      <c r="G36" s="187">
        <v>10.61</v>
      </c>
      <c r="H36" s="187">
        <v>14.68</v>
      </c>
      <c r="I36" s="188" t="s">
        <v>229</v>
      </c>
      <c r="J36" s="187">
        <v>22.8</v>
      </c>
      <c r="K36" s="187">
        <v>34.99</v>
      </c>
      <c r="L36" s="188" t="s">
        <v>229</v>
      </c>
      <c r="M36" s="188" t="s">
        <v>229</v>
      </c>
      <c r="N36" s="188" t="s">
        <v>229</v>
      </c>
      <c r="O36" s="188" t="s">
        <v>229</v>
      </c>
      <c r="P36" s="188" t="s">
        <v>229</v>
      </c>
      <c r="Q36" s="188" t="s">
        <v>229</v>
      </c>
      <c r="R36" s="188" t="s">
        <v>230</v>
      </c>
      <c r="S36" s="188" t="s">
        <v>230</v>
      </c>
      <c r="T36" s="189">
        <v>32.86</v>
      </c>
    </row>
    <row r="37" spans="2:20">
      <c r="B37" s="186" t="s">
        <v>241</v>
      </c>
      <c r="C37" s="187">
        <v>35.25</v>
      </c>
      <c r="D37" s="188" t="s">
        <v>229</v>
      </c>
      <c r="E37" s="187">
        <v>26.04</v>
      </c>
      <c r="F37" s="187">
        <v>19.84</v>
      </c>
      <c r="G37" s="188" t="s">
        <v>229</v>
      </c>
      <c r="H37" s="188" t="s">
        <v>229</v>
      </c>
      <c r="I37" s="188" t="s">
        <v>229</v>
      </c>
      <c r="J37" s="188" t="s">
        <v>229</v>
      </c>
      <c r="K37" s="188" t="s">
        <v>229</v>
      </c>
      <c r="L37" s="188" t="s">
        <v>229</v>
      </c>
      <c r="M37" s="188" t="s">
        <v>229</v>
      </c>
      <c r="N37" s="188" t="s">
        <v>229</v>
      </c>
      <c r="O37" s="188" t="s">
        <v>229</v>
      </c>
      <c r="P37" s="188" t="s">
        <v>229</v>
      </c>
      <c r="Q37" s="188" t="s">
        <v>229</v>
      </c>
      <c r="R37" s="188" t="s">
        <v>229</v>
      </c>
      <c r="S37" s="188" t="s">
        <v>229</v>
      </c>
      <c r="T37" s="189">
        <v>30.89</v>
      </c>
    </row>
    <row r="38" spans="2:20">
      <c r="B38" s="186" t="s">
        <v>231</v>
      </c>
      <c r="C38" s="187">
        <v>14</v>
      </c>
      <c r="D38" s="188" t="s">
        <v>229</v>
      </c>
      <c r="E38" s="187">
        <v>17.88</v>
      </c>
      <c r="F38" s="188" t="s">
        <v>229</v>
      </c>
      <c r="G38" s="187">
        <v>10.61</v>
      </c>
      <c r="H38" s="187">
        <v>9</v>
      </c>
      <c r="I38" s="188" t="s">
        <v>229</v>
      </c>
      <c r="J38" s="188" t="s">
        <v>229</v>
      </c>
      <c r="K38" s="188" t="s">
        <v>229</v>
      </c>
      <c r="L38" s="188" t="s">
        <v>229</v>
      </c>
      <c r="M38" s="188" t="s">
        <v>229</v>
      </c>
      <c r="N38" s="188" t="s">
        <v>229</v>
      </c>
      <c r="O38" s="188" t="s">
        <v>229</v>
      </c>
      <c r="P38" s="188" t="s">
        <v>229</v>
      </c>
      <c r="Q38" s="188" t="s">
        <v>229</v>
      </c>
      <c r="R38" s="188" t="s">
        <v>230</v>
      </c>
      <c r="S38" s="188" t="s">
        <v>230</v>
      </c>
      <c r="T38" s="189">
        <v>17.5</v>
      </c>
    </row>
    <row r="39" spans="2:20">
      <c r="B39" s="186" t="s">
        <v>242</v>
      </c>
      <c r="C39" s="187">
        <v>9.0500000000000007</v>
      </c>
      <c r="D39" s="188" t="s">
        <v>229</v>
      </c>
      <c r="E39" s="188" t="s">
        <v>229</v>
      </c>
      <c r="F39" s="188" t="s">
        <v>229</v>
      </c>
      <c r="G39" s="188" t="s">
        <v>229</v>
      </c>
      <c r="H39" s="188" t="s">
        <v>229</v>
      </c>
      <c r="I39" s="188" t="s">
        <v>229</v>
      </c>
      <c r="J39" s="187">
        <v>2.6</v>
      </c>
      <c r="K39" s="188" t="s">
        <v>229</v>
      </c>
      <c r="L39" s="188" t="s">
        <v>229</v>
      </c>
      <c r="M39" s="188" t="s">
        <v>229</v>
      </c>
      <c r="N39" s="188" t="s">
        <v>229</v>
      </c>
      <c r="O39" s="188" t="s">
        <v>229</v>
      </c>
      <c r="P39" s="188" t="s">
        <v>229</v>
      </c>
      <c r="Q39" s="188" t="s">
        <v>229</v>
      </c>
      <c r="R39" s="188" t="s">
        <v>229</v>
      </c>
      <c r="S39" s="188" t="s">
        <v>229</v>
      </c>
      <c r="T39" s="189">
        <v>8.81</v>
      </c>
    </row>
    <row r="40" spans="2:20">
      <c r="B40" s="186" t="s">
        <v>243</v>
      </c>
      <c r="C40" s="188" t="s">
        <v>229</v>
      </c>
      <c r="D40" s="188" t="s">
        <v>229</v>
      </c>
      <c r="E40" s="187">
        <v>4.05</v>
      </c>
      <c r="F40" s="188" t="s">
        <v>229</v>
      </c>
      <c r="G40" s="188" t="s">
        <v>229</v>
      </c>
      <c r="H40" s="188" t="s">
        <v>229</v>
      </c>
      <c r="I40" s="188" t="s">
        <v>229</v>
      </c>
      <c r="J40" s="188" t="s">
        <v>229</v>
      </c>
      <c r="K40" s="187">
        <v>58.11</v>
      </c>
      <c r="L40" s="188" t="s">
        <v>229</v>
      </c>
      <c r="M40" s="188" t="s">
        <v>229</v>
      </c>
      <c r="N40" s="188" t="s">
        <v>229</v>
      </c>
      <c r="O40" s="188" t="s">
        <v>229</v>
      </c>
      <c r="P40" s="188" t="s">
        <v>229</v>
      </c>
      <c r="Q40" s="188" t="s">
        <v>229</v>
      </c>
      <c r="R40" s="188" t="s">
        <v>230</v>
      </c>
      <c r="S40" s="188" t="s">
        <v>230</v>
      </c>
      <c r="T40" s="189">
        <v>11.92</v>
      </c>
    </row>
    <row r="41" spans="2:20">
      <c r="B41" s="186" t="s">
        <v>244</v>
      </c>
      <c r="C41" s="187">
        <v>12.45</v>
      </c>
      <c r="D41" s="188" t="s">
        <v>229</v>
      </c>
      <c r="E41" s="187">
        <v>12</v>
      </c>
      <c r="F41" s="187">
        <v>32.46</v>
      </c>
      <c r="G41" s="188" t="s">
        <v>229</v>
      </c>
      <c r="H41" s="188" t="s">
        <v>229</v>
      </c>
      <c r="I41" s="188" t="s">
        <v>229</v>
      </c>
      <c r="J41" s="188" t="s">
        <v>229</v>
      </c>
      <c r="K41" s="187">
        <v>58.78</v>
      </c>
      <c r="L41" s="188" t="s">
        <v>229</v>
      </c>
      <c r="M41" s="188" t="s">
        <v>229</v>
      </c>
      <c r="N41" s="188" t="s">
        <v>229</v>
      </c>
      <c r="O41" s="188" t="s">
        <v>229</v>
      </c>
      <c r="P41" s="188" t="s">
        <v>229</v>
      </c>
      <c r="Q41" s="188" t="s">
        <v>229</v>
      </c>
      <c r="R41" s="188" t="s">
        <v>229</v>
      </c>
      <c r="S41" s="188" t="s">
        <v>229</v>
      </c>
      <c r="T41" s="189">
        <v>55.34</v>
      </c>
    </row>
    <row r="42" spans="2:20">
      <c r="B42" s="186" t="s">
        <v>245</v>
      </c>
      <c r="C42" s="187">
        <v>14.46</v>
      </c>
      <c r="D42" s="187">
        <v>12</v>
      </c>
      <c r="E42" s="187">
        <v>16.5</v>
      </c>
      <c r="F42" s="187">
        <v>29.44</v>
      </c>
      <c r="G42" s="188" t="s">
        <v>229</v>
      </c>
      <c r="H42" s="187">
        <v>15</v>
      </c>
      <c r="I42" s="188" t="s">
        <v>229</v>
      </c>
      <c r="J42" s="187">
        <v>28</v>
      </c>
      <c r="K42" s="187">
        <v>54.84</v>
      </c>
      <c r="L42" s="188" t="s">
        <v>229</v>
      </c>
      <c r="M42" s="188" t="s">
        <v>229</v>
      </c>
      <c r="N42" s="188" t="s">
        <v>229</v>
      </c>
      <c r="O42" s="188" t="s">
        <v>229</v>
      </c>
      <c r="P42" s="188" t="s">
        <v>229</v>
      </c>
      <c r="Q42" s="188" t="s">
        <v>229</v>
      </c>
      <c r="R42" s="188" t="s">
        <v>230</v>
      </c>
      <c r="S42" s="188" t="s">
        <v>230</v>
      </c>
      <c r="T42" s="189">
        <v>50.02</v>
      </c>
    </row>
    <row r="43" spans="2:20">
      <c r="B43" s="186" t="s">
        <v>246</v>
      </c>
      <c r="C43" s="187">
        <v>15.63</v>
      </c>
      <c r="D43" s="188" t="s">
        <v>229</v>
      </c>
      <c r="E43" s="187">
        <v>19.03</v>
      </c>
      <c r="F43" s="187">
        <v>34.9</v>
      </c>
      <c r="G43" s="188" t="s">
        <v>229</v>
      </c>
      <c r="H43" s="188" t="s">
        <v>229</v>
      </c>
      <c r="I43" s="188" t="s">
        <v>229</v>
      </c>
      <c r="J43" s="187">
        <v>27.79</v>
      </c>
      <c r="K43" s="187">
        <v>44.56</v>
      </c>
      <c r="L43" s="188" t="s">
        <v>229</v>
      </c>
      <c r="M43" s="188" t="s">
        <v>229</v>
      </c>
      <c r="N43" s="188" t="s">
        <v>229</v>
      </c>
      <c r="O43" s="188" t="s">
        <v>229</v>
      </c>
      <c r="P43" s="188" t="s">
        <v>229</v>
      </c>
      <c r="Q43" s="188" t="s">
        <v>229</v>
      </c>
      <c r="R43" s="188" t="s">
        <v>229</v>
      </c>
      <c r="S43" s="188" t="s">
        <v>229</v>
      </c>
      <c r="T43" s="189">
        <v>43.49</v>
      </c>
    </row>
    <row r="44" spans="2:20">
      <c r="B44" s="186" t="s">
        <v>247</v>
      </c>
      <c r="C44" s="187">
        <v>13.82</v>
      </c>
      <c r="D44" s="188" t="s">
        <v>229</v>
      </c>
      <c r="E44" s="187">
        <v>19.66</v>
      </c>
      <c r="F44" s="187">
        <v>28.49</v>
      </c>
      <c r="G44" s="188" t="s">
        <v>229</v>
      </c>
      <c r="H44" s="187">
        <v>14.69</v>
      </c>
      <c r="I44" s="188" t="s">
        <v>229</v>
      </c>
      <c r="J44" s="187">
        <v>17.52</v>
      </c>
      <c r="K44" s="187">
        <v>26.81</v>
      </c>
      <c r="L44" s="188" t="s">
        <v>229</v>
      </c>
      <c r="M44" s="188" t="s">
        <v>229</v>
      </c>
      <c r="N44" s="188" t="s">
        <v>229</v>
      </c>
      <c r="O44" s="188" t="s">
        <v>229</v>
      </c>
      <c r="P44" s="188" t="s">
        <v>229</v>
      </c>
      <c r="Q44" s="188" t="s">
        <v>229</v>
      </c>
      <c r="R44" s="188" t="s">
        <v>230</v>
      </c>
      <c r="S44" s="188" t="s">
        <v>230</v>
      </c>
      <c r="T44" s="189">
        <v>25.82</v>
      </c>
    </row>
    <row r="45" spans="2:20">
      <c r="B45" s="190" t="s">
        <v>248</v>
      </c>
      <c r="C45" s="187">
        <v>33.049999999999997</v>
      </c>
      <c r="D45" s="187">
        <v>14.76</v>
      </c>
      <c r="E45" s="187">
        <v>29.9</v>
      </c>
      <c r="F45" s="187">
        <v>30.33</v>
      </c>
      <c r="G45" s="187">
        <v>15.1</v>
      </c>
      <c r="H45" s="187">
        <v>27.66</v>
      </c>
      <c r="I45" s="188" t="s">
        <v>229</v>
      </c>
      <c r="J45" s="187">
        <v>49.62</v>
      </c>
      <c r="K45" s="187">
        <v>43.75</v>
      </c>
      <c r="L45" s="187">
        <v>26.8</v>
      </c>
      <c r="M45" s="187">
        <v>57.61</v>
      </c>
      <c r="N45" s="188" t="s">
        <v>229</v>
      </c>
      <c r="O45" s="187">
        <v>58.27</v>
      </c>
      <c r="P45" s="187">
        <v>71.77</v>
      </c>
      <c r="Q45" s="188" t="s">
        <v>229</v>
      </c>
      <c r="R45" s="188" t="s">
        <v>229</v>
      </c>
      <c r="S45" s="188" t="s">
        <v>229</v>
      </c>
      <c r="T45" s="189">
        <v>39.51</v>
      </c>
    </row>
    <row r="46" spans="2:20">
      <c r="B46" s="186" t="s">
        <v>241</v>
      </c>
      <c r="C46" s="187">
        <v>48.34</v>
      </c>
      <c r="D46" s="187">
        <v>28.31</v>
      </c>
      <c r="E46" s="187">
        <v>38.479999999999997</v>
      </c>
      <c r="F46" s="187">
        <v>30.23</v>
      </c>
      <c r="G46" s="187">
        <v>30</v>
      </c>
      <c r="H46" s="187">
        <v>34.020000000000003</v>
      </c>
      <c r="I46" s="188" t="s">
        <v>229</v>
      </c>
      <c r="J46" s="187">
        <v>56.96</v>
      </c>
      <c r="K46" s="188" t="s">
        <v>229</v>
      </c>
      <c r="L46" s="187">
        <v>30.5</v>
      </c>
      <c r="M46" s="187">
        <v>62.29</v>
      </c>
      <c r="N46" s="188" t="s">
        <v>229</v>
      </c>
      <c r="O46" s="187">
        <v>66.25</v>
      </c>
      <c r="P46" s="188" t="s">
        <v>229</v>
      </c>
      <c r="Q46" s="188" t="s">
        <v>229</v>
      </c>
      <c r="R46" s="188" t="s">
        <v>230</v>
      </c>
      <c r="S46" s="188" t="s">
        <v>230</v>
      </c>
      <c r="T46" s="189">
        <v>49.69</v>
      </c>
    </row>
    <row r="47" spans="2:20">
      <c r="B47" s="186" t="s">
        <v>242</v>
      </c>
      <c r="C47" s="187">
        <v>13.65</v>
      </c>
      <c r="D47" s="188" t="s">
        <v>229</v>
      </c>
      <c r="E47" s="188" t="s">
        <v>229</v>
      </c>
      <c r="F47" s="188" t="s">
        <v>229</v>
      </c>
      <c r="G47" s="188" t="s">
        <v>229</v>
      </c>
      <c r="H47" s="188" t="s">
        <v>229</v>
      </c>
      <c r="I47" s="188" t="s">
        <v>229</v>
      </c>
      <c r="J47" s="188" t="s">
        <v>229</v>
      </c>
      <c r="K47" s="188" t="s">
        <v>229</v>
      </c>
      <c r="L47" s="188" t="s">
        <v>229</v>
      </c>
      <c r="M47" s="188" t="s">
        <v>229</v>
      </c>
      <c r="N47" s="188" t="s">
        <v>229</v>
      </c>
      <c r="O47" s="188" t="s">
        <v>229</v>
      </c>
      <c r="P47" s="188" t="s">
        <v>229</v>
      </c>
      <c r="Q47" s="188" t="s">
        <v>229</v>
      </c>
      <c r="R47" s="188" t="s">
        <v>229</v>
      </c>
      <c r="S47" s="188" t="s">
        <v>229</v>
      </c>
      <c r="T47" s="189">
        <v>13.65</v>
      </c>
    </row>
    <row r="48" spans="2:20">
      <c r="B48" s="186" t="s">
        <v>249</v>
      </c>
      <c r="C48" s="187">
        <v>13.23</v>
      </c>
      <c r="D48" s="188" t="s">
        <v>229</v>
      </c>
      <c r="E48" s="187">
        <v>10.130000000000001</v>
      </c>
      <c r="F48" s="188" t="s">
        <v>229</v>
      </c>
      <c r="G48" s="187">
        <v>11.58</v>
      </c>
      <c r="H48" s="187">
        <v>8.98</v>
      </c>
      <c r="I48" s="188" t="s">
        <v>229</v>
      </c>
      <c r="J48" s="187">
        <v>9.59</v>
      </c>
      <c r="K48" s="188" t="s">
        <v>229</v>
      </c>
      <c r="L48" s="188" t="s">
        <v>229</v>
      </c>
      <c r="M48" s="188" t="s">
        <v>229</v>
      </c>
      <c r="N48" s="188" t="s">
        <v>229</v>
      </c>
      <c r="O48" s="188" t="s">
        <v>229</v>
      </c>
      <c r="P48" s="188" t="s">
        <v>229</v>
      </c>
      <c r="Q48" s="188" t="s">
        <v>229</v>
      </c>
      <c r="R48" s="188" t="s">
        <v>230</v>
      </c>
      <c r="S48" s="188" t="s">
        <v>230</v>
      </c>
      <c r="T48" s="189">
        <v>11.17</v>
      </c>
    </row>
    <row r="49" spans="2:20">
      <c r="B49" s="186" t="s">
        <v>250</v>
      </c>
      <c r="C49" s="187">
        <v>12.7</v>
      </c>
      <c r="D49" s="187">
        <v>38.64</v>
      </c>
      <c r="E49" s="187">
        <v>75.31</v>
      </c>
      <c r="F49" s="187">
        <v>17.45</v>
      </c>
      <c r="G49" s="187">
        <v>11.41</v>
      </c>
      <c r="H49" s="187">
        <v>22.45</v>
      </c>
      <c r="I49" s="188" t="s">
        <v>229</v>
      </c>
      <c r="J49" s="187">
        <v>20.12</v>
      </c>
      <c r="K49" s="187">
        <v>61.18</v>
      </c>
      <c r="L49" s="188" t="s">
        <v>229</v>
      </c>
      <c r="M49" s="187">
        <v>29.57</v>
      </c>
      <c r="N49" s="188" t="s">
        <v>229</v>
      </c>
      <c r="O49" s="187">
        <v>41.59</v>
      </c>
      <c r="P49" s="187">
        <v>80.739999999999995</v>
      </c>
      <c r="Q49" s="188" t="s">
        <v>229</v>
      </c>
      <c r="R49" s="188" t="s">
        <v>229</v>
      </c>
      <c r="S49" s="188" t="s">
        <v>229</v>
      </c>
      <c r="T49" s="189">
        <v>55.23</v>
      </c>
    </row>
    <row r="50" spans="2:20">
      <c r="B50" s="186" t="s">
        <v>251</v>
      </c>
      <c r="C50" s="187">
        <v>13.83</v>
      </c>
      <c r="D50" s="187">
        <v>14.65</v>
      </c>
      <c r="E50" s="187">
        <v>12.82</v>
      </c>
      <c r="F50" s="187">
        <v>30.87</v>
      </c>
      <c r="G50" s="187">
        <v>11.82</v>
      </c>
      <c r="H50" s="187">
        <v>14.05</v>
      </c>
      <c r="I50" s="188" t="s">
        <v>229</v>
      </c>
      <c r="J50" s="187">
        <v>15.58</v>
      </c>
      <c r="K50" s="187">
        <v>33.69</v>
      </c>
      <c r="L50" s="187">
        <v>10.15</v>
      </c>
      <c r="M50" s="187">
        <v>23.46</v>
      </c>
      <c r="N50" s="188" t="s">
        <v>229</v>
      </c>
      <c r="O50" s="187">
        <v>22.4</v>
      </c>
      <c r="P50" s="187">
        <v>68.88</v>
      </c>
      <c r="Q50" s="188" t="s">
        <v>229</v>
      </c>
      <c r="R50" s="188" t="s">
        <v>230</v>
      </c>
      <c r="S50" s="188" t="s">
        <v>230</v>
      </c>
      <c r="T50" s="189">
        <v>16.34</v>
      </c>
    </row>
    <row r="51" spans="2:20">
      <c r="B51" s="186" t="s">
        <v>252</v>
      </c>
      <c r="C51" s="188" t="s">
        <v>229</v>
      </c>
      <c r="D51" s="187">
        <v>47.09</v>
      </c>
      <c r="E51" s="188" t="s">
        <v>229</v>
      </c>
      <c r="F51" s="188" t="s">
        <v>229</v>
      </c>
      <c r="G51" s="188" t="s">
        <v>229</v>
      </c>
      <c r="H51" s="188" t="s">
        <v>229</v>
      </c>
      <c r="I51" s="188" t="s">
        <v>229</v>
      </c>
      <c r="J51" s="188" t="s">
        <v>229</v>
      </c>
      <c r="K51" s="188" t="s">
        <v>229</v>
      </c>
      <c r="L51" s="188" t="s">
        <v>229</v>
      </c>
      <c r="M51" s="188" t="s">
        <v>229</v>
      </c>
      <c r="N51" s="188" t="s">
        <v>229</v>
      </c>
      <c r="O51" s="188" t="s">
        <v>229</v>
      </c>
      <c r="P51" s="188" t="s">
        <v>229</v>
      </c>
      <c r="Q51" s="188" t="s">
        <v>229</v>
      </c>
      <c r="R51" s="188" t="s">
        <v>229</v>
      </c>
      <c r="S51" s="188" t="s">
        <v>229</v>
      </c>
      <c r="T51" s="189">
        <v>47.09</v>
      </c>
    </row>
    <row r="52" spans="2:20">
      <c r="B52" s="190" t="s">
        <v>253</v>
      </c>
      <c r="C52" s="187">
        <v>5.94</v>
      </c>
      <c r="D52" s="187">
        <v>8.43</v>
      </c>
      <c r="E52" s="187">
        <v>5.49</v>
      </c>
      <c r="F52" s="187">
        <v>8.43</v>
      </c>
      <c r="G52" s="187">
        <v>6.98</v>
      </c>
      <c r="H52" s="187">
        <v>5.92</v>
      </c>
      <c r="I52" s="188" t="s">
        <v>229</v>
      </c>
      <c r="J52" s="187">
        <v>5.46</v>
      </c>
      <c r="K52" s="187">
        <v>13.99</v>
      </c>
      <c r="L52" s="188" t="s">
        <v>229</v>
      </c>
      <c r="M52" s="188" t="s">
        <v>229</v>
      </c>
      <c r="N52" s="188" t="s">
        <v>229</v>
      </c>
      <c r="O52" s="188" t="s">
        <v>229</v>
      </c>
      <c r="P52" s="188" t="s">
        <v>229</v>
      </c>
      <c r="Q52" s="188" t="s">
        <v>229</v>
      </c>
      <c r="R52" s="188" t="s">
        <v>230</v>
      </c>
      <c r="S52" s="188" t="s">
        <v>230</v>
      </c>
      <c r="T52" s="189">
        <v>5.83</v>
      </c>
    </row>
    <row r="53" spans="2:20">
      <c r="B53" s="191" t="s">
        <v>254</v>
      </c>
      <c r="C53" s="192">
        <v>5.94</v>
      </c>
      <c r="D53" s="192">
        <v>8.43</v>
      </c>
      <c r="E53" s="192">
        <v>5.49</v>
      </c>
      <c r="F53" s="192">
        <v>8.43</v>
      </c>
      <c r="G53" s="192">
        <v>6.98</v>
      </c>
      <c r="H53" s="192">
        <v>5.92</v>
      </c>
      <c r="I53" s="193" t="s">
        <v>229</v>
      </c>
      <c r="J53" s="192">
        <v>5.46</v>
      </c>
      <c r="K53" s="192">
        <v>13.99</v>
      </c>
      <c r="L53" s="193" t="s">
        <v>229</v>
      </c>
      <c r="M53" s="193" t="s">
        <v>229</v>
      </c>
      <c r="N53" s="193" t="s">
        <v>229</v>
      </c>
      <c r="O53" s="193" t="s">
        <v>229</v>
      </c>
      <c r="P53" s="193" t="s">
        <v>229</v>
      </c>
      <c r="Q53" s="193" t="s">
        <v>229</v>
      </c>
      <c r="R53" s="193" t="s">
        <v>229</v>
      </c>
      <c r="S53" s="193" t="s">
        <v>229</v>
      </c>
      <c r="T53" s="194">
        <v>5.83</v>
      </c>
    </row>
    <row r="56" spans="2:20">
      <c r="B56" s="231" t="s">
        <v>255</v>
      </c>
      <c r="C56" s="231"/>
      <c r="D56" s="231"/>
      <c r="E56" s="231"/>
      <c r="F56" s="231"/>
      <c r="G56" s="231"/>
      <c r="H56" s="231"/>
      <c r="I56" s="231"/>
      <c r="J56" s="231"/>
      <c r="K56" s="231"/>
      <c r="L56" s="231"/>
    </row>
    <row r="57" spans="2:20"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</row>
    <row r="58" spans="2:20"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</row>
    <row r="60" spans="2:20"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</row>
    <row r="61" spans="2:20"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</row>
    <row r="62" spans="2:20"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</row>
  </sheetData>
  <mergeCells count="4">
    <mergeCell ref="B2:L2"/>
    <mergeCell ref="B4:L4"/>
    <mergeCell ref="B56:L58"/>
    <mergeCell ref="B60:L62"/>
  </mergeCells>
  <pageMargins left="0.75" right="0.75" top="0.75" bottom="0.5" header="0.5" footer="0.7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5983C-B2A7-4D0D-B566-23C4A7E9C862}">
  <sheetPr>
    <tabColor theme="0"/>
  </sheetPr>
  <dimension ref="A1:T14"/>
  <sheetViews>
    <sheetView showGridLines="0" zoomScaleNormal="100" workbookViewId="0">
      <selection activeCell="H14" sqref="H14"/>
    </sheetView>
  </sheetViews>
  <sheetFormatPr baseColWidth="10" defaultRowHeight="15"/>
  <cols>
    <col min="1" max="1" width="8" style="8" customWidth="1"/>
    <col min="2" max="2" width="12" style="1" customWidth="1"/>
    <col min="3" max="4" width="4.7109375" style="1" customWidth="1"/>
    <col min="5" max="5" width="6.28515625" style="5" customWidth="1"/>
    <col min="6" max="6" width="35.7109375" style="5" customWidth="1"/>
    <col min="7" max="7" width="15.28515625" style="5" bestFit="1" customWidth="1"/>
    <col min="8" max="8" width="72.140625" style="5" bestFit="1" customWidth="1"/>
    <col min="9" max="9" width="18.140625" style="1" bestFit="1" customWidth="1"/>
    <col min="10" max="10" width="8" style="1" bestFit="1" customWidth="1"/>
    <col min="11" max="11" width="11.140625" style="1" bestFit="1" customWidth="1"/>
    <col min="12" max="12" width="13.7109375" style="1" bestFit="1" customWidth="1"/>
    <col min="13" max="13" width="9.42578125" style="1" bestFit="1" customWidth="1"/>
    <col min="14" max="14" width="2.85546875" style="1" customWidth="1"/>
    <col min="15" max="16" width="12" style="1" customWidth="1"/>
    <col min="17" max="17" width="17.85546875" style="1" customWidth="1"/>
    <col min="18" max="18" width="11.42578125" style="1"/>
    <col min="19" max="19" width="15.42578125" style="1" bestFit="1" customWidth="1"/>
    <col min="20" max="21" width="14.42578125" style="1" bestFit="1" customWidth="1"/>
    <col min="22" max="16384" width="11.42578125" style="1"/>
  </cols>
  <sheetData>
    <row r="1" spans="1:20" ht="11.25" customHeight="1">
      <c r="A1" s="33" t="s">
        <v>13</v>
      </c>
    </row>
    <row r="2" spans="1:20" ht="9" customHeight="1"/>
    <row r="3" spans="1:20" ht="8.25" customHeight="1"/>
    <row r="4" spans="1:20">
      <c r="E4" s="6" t="s">
        <v>103</v>
      </c>
      <c r="F4" s="6"/>
      <c r="G4" s="6"/>
      <c r="H4" s="6"/>
    </row>
    <row r="5" spans="1:20">
      <c r="E5" s="6"/>
      <c r="F5" s="6"/>
      <c r="G5" s="6"/>
      <c r="H5" s="6"/>
    </row>
    <row r="6" spans="1:20">
      <c r="E6" s="6"/>
    </row>
    <row r="7" spans="1:20">
      <c r="E7" s="6"/>
      <c r="F7" s="94" t="s">
        <v>96</v>
      </c>
      <c r="G7" s="94" t="s">
        <v>207</v>
      </c>
      <c r="H7" s="94" t="s">
        <v>208</v>
      </c>
      <c r="R7" s="9"/>
      <c r="S7" s="9"/>
      <c r="T7" s="9"/>
    </row>
    <row r="8" spans="1:20">
      <c r="E8" s="6"/>
      <c r="F8" s="95" t="s">
        <v>257</v>
      </c>
      <c r="G8" s="195">
        <f>'FuenteReporteTasaActiva BCRP'!T8/100</f>
        <v>2.3099999999999999E-2</v>
      </c>
      <c r="H8" s="146" t="s">
        <v>258</v>
      </c>
    </row>
    <row r="9" spans="1:20">
      <c r="E9" s="6"/>
    </row>
    <row r="11" spans="1:20">
      <c r="F11" s="5" t="s">
        <v>300</v>
      </c>
      <c r="G11" s="167">
        <v>0</v>
      </c>
    </row>
    <row r="14" spans="1:20">
      <c r="F14" s="5" t="s">
        <v>272</v>
      </c>
      <c r="G14" s="167">
        <f>(1+G8)*(1+G11)-1</f>
        <v>2.3099999999999898E-2</v>
      </c>
    </row>
  </sheetData>
  <hyperlinks>
    <hyperlink ref="A1" location="Indice!A1" display="Índice" xr:uid="{374EEECE-B68D-4F82-B0D1-59751D5E9F19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EE818-21A9-47D6-8E6A-3976E7DEC26A}">
  <sheetPr>
    <tabColor rgb="FFFFFFFF"/>
  </sheetPr>
  <dimension ref="A1:P96"/>
  <sheetViews>
    <sheetView workbookViewId="0">
      <selection activeCell="H4" sqref="H4"/>
    </sheetView>
  </sheetViews>
  <sheetFormatPr baseColWidth="10" defaultRowHeight="12.75"/>
  <cols>
    <col min="1" max="3" width="11.42578125" style="14"/>
    <col min="4" max="4" width="13.85546875" style="14" bestFit="1" customWidth="1"/>
    <col min="5" max="5" width="11.42578125" style="15" bestFit="1" customWidth="1"/>
    <col min="6" max="6" width="14.42578125" style="14" bestFit="1" customWidth="1"/>
    <col min="7" max="7" width="14.42578125" style="15" bestFit="1" customWidth="1"/>
    <col min="8" max="8" width="14.140625" style="14" bestFit="1" customWidth="1"/>
    <col min="9" max="9" width="14.28515625" style="14" bestFit="1" customWidth="1"/>
    <col min="10" max="10" width="14" style="14" bestFit="1" customWidth="1"/>
    <col min="11" max="11" width="20.7109375" style="15" bestFit="1" customWidth="1"/>
    <col min="12" max="12" width="11" style="14" customWidth="1"/>
    <col min="13" max="259" width="11.42578125" style="14"/>
    <col min="260" max="260" width="13.85546875" style="14" bestFit="1" customWidth="1"/>
    <col min="261" max="261" width="11.42578125" style="14" bestFit="1"/>
    <col min="262" max="263" width="14.42578125" style="14" bestFit="1" customWidth="1"/>
    <col min="264" max="264" width="14.140625" style="14" bestFit="1" customWidth="1"/>
    <col min="265" max="265" width="14.28515625" style="14" bestFit="1" customWidth="1"/>
    <col min="266" max="266" width="14" style="14" bestFit="1" customWidth="1"/>
    <col min="267" max="267" width="20.7109375" style="14" bestFit="1" customWidth="1"/>
    <col min="268" max="268" width="11" style="14" customWidth="1"/>
    <col min="269" max="515" width="11.42578125" style="14"/>
    <col min="516" max="516" width="13.85546875" style="14" bestFit="1" customWidth="1"/>
    <col min="517" max="517" width="11.42578125" style="14" bestFit="1"/>
    <col min="518" max="519" width="14.42578125" style="14" bestFit="1" customWidth="1"/>
    <col min="520" max="520" width="14.140625" style="14" bestFit="1" customWidth="1"/>
    <col min="521" max="521" width="14.28515625" style="14" bestFit="1" customWidth="1"/>
    <col min="522" max="522" width="14" style="14" bestFit="1" customWidth="1"/>
    <col min="523" max="523" width="20.7109375" style="14" bestFit="1" customWidth="1"/>
    <col min="524" max="524" width="11" style="14" customWidth="1"/>
    <col min="525" max="771" width="11.42578125" style="14"/>
    <col min="772" max="772" width="13.85546875" style="14" bestFit="1" customWidth="1"/>
    <col min="773" max="773" width="11.42578125" style="14" bestFit="1"/>
    <col min="774" max="775" width="14.42578125" style="14" bestFit="1" customWidth="1"/>
    <col min="776" max="776" width="14.140625" style="14" bestFit="1" customWidth="1"/>
    <col min="777" max="777" width="14.28515625" style="14" bestFit="1" customWidth="1"/>
    <col min="778" max="778" width="14" style="14" bestFit="1" customWidth="1"/>
    <col min="779" max="779" width="20.7109375" style="14" bestFit="1" customWidth="1"/>
    <col min="780" max="780" width="11" style="14" customWidth="1"/>
    <col min="781" max="1027" width="11.42578125" style="14"/>
    <col min="1028" max="1028" width="13.85546875" style="14" bestFit="1" customWidth="1"/>
    <col min="1029" max="1029" width="11.42578125" style="14" bestFit="1"/>
    <col min="1030" max="1031" width="14.42578125" style="14" bestFit="1" customWidth="1"/>
    <col min="1032" max="1032" width="14.140625" style="14" bestFit="1" customWidth="1"/>
    <col min="1033" max="1033" width="14.28515625" style="14" bestFit="1" customWidth="1"/>
    <col min="1034" max="1034" width="14" style="14" bestFit="1" customWidth="1"/>
    <col min="1035" max="1035" width="20.7109375" style="14" bestFit="1" customWidth="1"/>
    <col min="1036" max="1036" width="11" style="14" customWidth="1"/>
    <col min="1037" max="1283" width="11.42578125" style="14"/>
    <col min="1284" max="1284" width="13.85546875" style="14" bestFit="1" customWidth="1"/>
    <col min="1285" max="1285" width="11.42578125" style="14" bestFit="1"/>
    <col min="1286" max="1287" width="14.42578125" style="14" bestFit="1" customWidth="1"/>
    <col min="1288" max="1288" width="14.140625" style="14" bestFit="1" customWidth="1"/>
    <col min="1289" max="1289" width="14.28515625" style="14" bestFit="1" customWidth="1"/>
    <col min="1290" max="1290" width="14" style="14" bestFit="1" customWidth="1"/>
    <col min="1291" max="1291" width="20.7109375" style="14" bestFit="1" customWidth="1"/>
    <col min="1292" max="1292" width="11" style="14" customWidth="1"/>
    <col min="1293" max="1539" width="11.42578125" style="14"/>
    <col min="1540" max="1540" width="13.85546875" style="14" bestFit="1" customWidth="1"/>
    <col min="1541" max="1541" width="11.42578125" style="14" bestFit="1"/>
    <col min="1542" max="1543" width="14.42578125" style="14" bestFit="1" customWidth="1"/>
    <col min="1544" max="1544" width="14.140625" style="14" bestFit="1" customWidth="1"/>
    <col min="1545" max="1545" width="14.28515625" style="14" bestFit="1" customWidth="1"/>
    <col min="1546" max="1546" width="14" style="14" bestFit="1" customWidth="1"/>
    <col min="1547" max="1547" width="20.7109375" style="14" bestFit="1" customWidth="1"/>
    <col min="1548" max="1548" width="11" style="14" customWidth="1"/>
    <col min="1549" max="1795" width="11.42578125" style="14"/>
    <col min="1796" max="1796" width="13.85546875" style="14" bestFit="1" customWidth="1"/>
    <col min="1797" max="1797" width="11.42578125" style="14" bestFit="1"/>
    <col min="1798" max="1799" width="14.42578125" style="14" bestFit="1" customWidth="1"/>
    <col min="1800" max="1800" width="14.140625" style="14" bestFit="1" customWidth="1"/>
    <col min="1801" max="1801" width="14.28515625" style="14" bestFit="1" customWidth="1"/>
    <col min="1802" max="1802" width="14" style="14" bestFit="1" customWidth="1"/>
    <col min="1803" max="1803" width="20.7109375" style="14" bestFit="1" customWidth="1"/>
    <col min="1804" max="1804" width="11" style="14" customWidth="1"/>
    <col min="1805" max="2051" width="11.42578125" style="14"/>
    <col min="2052" max="2052" width="13.85546875" style="14" bestFit="1" customWidth="1"/>
    <col min="2053" max="2053" width="11.42578125" style="14" bestFit="1"/>
    <col min="2054" max="2055" width="14.42578125" style="14" bestFit="1" customWidth="1"/>
    <col min="2056" max="2056" width="14.140625" style="14" bestFit="1" customWidth="1"/>
    <col min="2057" max="2057" width="14.28515625" style="14" bestFit="1" customWidth="1"/>
    <col min="2058" max="2058" width="14" style="14" bestFit="1" customWidth="1"/>
    <col min="2059" max="2059" width="20.7109375" style="14" bestFit="1" customWidth="1"/>
    <col min="2060" max="2060" width="11" style="14" customWidth="1"/>
    <col min="2061" max="2307" width="11.42578125" style="14"/>
    <col min="2308" max="2308" width="13.85546875" style="14" bestFit="1" customWidth="1"/>
    <col min="2309" max="2309" width="11.42578125" style="14" bestFit="1"/>
    <col min="2310" max="2311" width="14.42578125" style="14" bestFit="1" customWidth="1"/>
    <col min="2312" max="2312" width="14.140625" style="14" bestFit="1" customWidth="1"/>
    <col min="2313" max="2313" width="14.28515625" style="14" bestFit="1" customWidth="1"/>
    <col min="2314" max="2314" width="14" style="14" bestFit="1" customWidth="1"/>
    <col min="2315" max="2315" width="20.7109375" style="14" bestFit="1" customWidth="1"/>
    <col min="2316" max="2316" width="11" style="14" customWidth="1"/>
    <col min="2317" max="2563" width="11.42578125" style="14"/>
    <col min="2564" max="2564" width="13.85546875" style="14" bestFit="1" customWidth="1"/>
    <col min="2565" max="2565" width="11.42578125" style="14" bestFit="1"/>
    <col min="2566" max="2567" width="14.42578125" style="14" bestFit="1" customWidth="1"/>
    <col min="2568" max="2568" width="14.140625" style="14" bestFit="1" customWidth="1"/>
    <col min="2569" max="2569" width="14.28515625" style="14" bestFit="1" customWidth="1"/>
    <col min="2570" max="2570" width="14" style="14" bestFit="1" customWidth="1"/>
    <col min="2571" max="2571" width="20.7109375" style="14" bestFit="1" customWidth="1"/>
    <col min="2572" max="2572" width="11" style="14" customWidth="1"/>
    <col min="2573" max="2819" width="11.42578125" style="14"/>
    <col min="2820" max="2820" width="13.85546875" style="14" bestFit="1" customWidth="1"/>
    <col min="2821" max="2821" width="11.42578125" style="14" bestFit="1"/>
    <col min="2822" max="2823" width="14.42578125" style="14" bestFit="1" customWidth="1"/>
    <col min="2824" max="2824" width="14.140625" style="14" bestFit="1" customWidth="1"/>
    <col min="2825" max="2825" width="14.28515625" style="14" bestFit="1" customWidth="1"/>
    <col min="2826" max="2826" width="14" style="14" bestFit="1" customWidth="1"/>
    <col min="2827" max="2827" width="20.7109375" style="14" bestFit="1" customWidth="1"/>
    <col min="2828" max="2828" width="11" style="14" customWidth="1"/>
    <col min="2829" max="3075" width="11.42578125" style="14"/>
    <col min="3076" max="3076" width="13.85546875" style="14" bestFit="1" customWidth="1"/>
    <col min="3077" max="3077" width="11.42578125" style="14" bestFit="1"/>
    <col min="3078" max="3079" width="14.42578125" style="14" bestFit="1" customWidth="1"/>
    <col min="3080" max="3080" width="14.140625" style="14" bestFit="1" customWidth="1"/>
    <col min="3081" max="3081" width="14.28515625" style="14" bestFit="1" customWidth="1"/>
    <col min="3082" max="3082" width="14" style="14" bestFit="1" customWidth="1"/>
    <col min="3083" max="3083" width="20.7109375" style="14" bestFit="1" customWidth="1"/>
    <col min="3084" max="3084" width="11" style="14" customWidth="1"/>
    <col min="3085" max="3331" width="11.42578125" style="14"/>
    <col min="3332" max="3332" width="13.85546875" style="14" bestFit="1" customWidth="1"/>
    <col min="3333" max="3333" width="11.42578125" style="14" bestFit="1"/>
    <col min="3334" max="3335" width="14.42578125" style="14" bestFit="1" customWidth="1"/>
    <col min="3336" max="3336" width="14.140625" style="14" bestFit="1" customWidth="1"/>
    <col min="3337" max="3337" width="14.28515625" style="14" bestFit="1" customWidth="1"/>
    <col min="3338" max="3338" width="14" style="14" bestFit="1" customWidth="1"/>
    <col min="3339" max="3339" width="20.7109375" style="14" bestFit="1" customWidth="1"/>
    <col min="3340" max="3340" width="11" style="14" customWidth="1"/>
    <col min="3341" max="3587" width="11.42578125" style="14"/>
    <col min="3588" max="3588" width="13.85546875" style="14" bestFit="1" customWidth="1"/>
    <col min="3589" max="3589" width="11.42578125" style="14" bestFit="1"/>
    <col min="3590" max="3591" width="14.42578125" style="14" bestFit="1" customWidth="1"/>
    <col min="3592" max="3592" width="14.140625" style="14" bestFit="1" customWidth="1"/>
    <col min="3593" max="3593" width="14.28515625" style="14" bestFit="1" customWidth="1"/>
    <col min="3594" max="3594" width="14" style="14" bestFit="1" customWidth="1"/>
    <col min="3595" max="3595" width="20.7109375" style="14" bestFit="1" customWidth="1"/>
    <col min="3596" max="3596" width="11" style="14" customWidth="1"/>
    <col min="3597" max="3843" width="11.42578125" style="14"/>
    <col min="3844" max="3844" width="13.85546875" style="14" bestFit="1" customWidth="1"/>
    <col min="3845" max="3845" width="11.42578125" style="14" bestFit="1"/>
    <col min="3846" max="3847" width="14.42578125" style="14" bestFit="1" customWidth="1"/>
    <col min="3848" max="3848" width="14.140625" style="14" bestFit="1" customWidth="1"/>
    <col min="3849" max="3849" width="14.28515625" style="14" bestFit="1" customWidth="1"/>
    <col min="3850" max="3850" width="14" style="14" bestFit="1" customWidth="1"/>
    <col min="3851" max="3851" width="20.7109375" style="14" bestFit="1" customWidth="1"/>
    <col min="3852" max="3852" width="11" style="14" customWidth="1"/>
    <col min="3853" max="4099" width="11.42578125" style="14"/>
    <col min="4100" max="4100" width="13.85546875" style="14" bestFit="1" customWidth="1"/>
    <col min="4101" max="4101" width="11.42578125" style="14" bestFit="1"/>
    <col min="4102" max="4103" width="14.42578125" style="14" bestFit="1" customWidth="1"/>
    <col min="4104" max="4104" width="14.140625" style="14" bestFit="1" customWidth="1"/>
    <col min="4105" max="4105" width="14.28515625" style="14" bestFit="1" customWidth="1"/>
    <col min="4106" max="4106" width="14" style="14" bestFit="1" customWidth="1"/>
    <col min="4107" max="4107" width="20.7109375" style="14" bestFit="1" customWidth="1"/>
    <col min="4108" max="4108" width="11" style="14" customWidth="1"/>
    <col min="4109" max="4355" width="11.42578125" style="14"/>
    <col min="4356" max="4356" width="13.85546875" style="14" bestFit="1" customWidth="1"/>
    <col min="4357" max="4357" width="11.42578125" style="14" bestFit="1"/>
    <col min="4358" max="4359" width="14.42578125" style="14" bestFit="1" customWidth="1"/>
    <col min="4360" max="4360" width="14.140625" style="14" bestFit="1" customWidth="1"/>
    <col min="4361" max="4361" width="14.28515625" style="14" bestFit="1" customWidth="1"/>
    <col min="4362" max="4362" width="14" style="14" bestFit="1" customWidth="1"/>
    <col min="4363" max="4363" width="20.7109375" style="14" bestFit="1" customWidth="1"/>
    <col min="4364" max="4364" width="11" style="14" customWidth="1"/>
    <col min="4365" max="4611" width="11.42578125" style="14"/>
    <col min="4612" max="4612" width="13.85546875" style="14" bestFit="1" customWidth="1"/>
    <col min="4613" max="4613" width="11.42578125" style="14" bestFit="1"/>
    <col min="4614" max="4615" width="14.42578125" style="14" bestFit="1" customWidth="1"/>
    <col min="4616" max="4616" width="14.140625" style="14" bestFit="1" customWidth="1"/>
    <col min="4617" max="4617" width="14.28515625" style="14" bestFit="1" customWidth="1"/>
    <col min="4618" max="4618" width="14" style="14" bestFit="1" customWidth="1"/>
    <col min="4619" max="4619" width="20.7109375" style="14" bestFit="1" customWidth="1"/>
    <col min="4620" max="4620" width="11" style="14" customWidth="1"/>
    <col min="4621" max="4867" width="11.42578125" style="14"/>
    <col min="4868" max="4868" width="13.85546875" style="14" bestFit="1" customWidth="1"/>
    <col min="4869" max="4869" width="11.42578125" style="14" bestFit="1"/>
    <col min="4870" max="4871" width="14.42578125" style="14" bestFit="1" customWidth="1"/>
    <col min="4872" max="4872" width="14.140625" style="14" bestFit="1" customWidth="1"/>
    <col min="4873" max="4873" width="14.28515625" style="14" bestFit="1" customWidth="1"/>
    <col min="4874" max="4874" width="14" style="14" bestFit="1" customWidth="1"/>
    <col min="4875" max="4875" width="20.7109375" style="14" bestFit="1" customWidth="1"/>
    <col min="4876" max="4876" width="11" style="14" customWidth="1"/>
    <col min="4877" max="5123" width="11.42578125" style="14"/>
    <col min="5124" max="5124" width="13.85546875" style="14" bestFit="1" customWidth="1"/>
    <col min="5125" max="5125" width="11.42578125" style="14" bestFit="1"/>
    <col min="5126" max="5127" width="14.42578125" style="14" bestFit="1" customWidth="1"/>
    <col min="5128" max="5128" width="14.140625" style="14" bestFit="1" customWidth="1"/>
    <col min="5129" max="5129" width="14.28515625" style="14" bestFit="1" customWidth="1"/>
    <col min="5130" max="5130" width="14" style="14" bestFit="1" customWidth="1"/>
    <col min="5131" max="5131" width="20.7109375" style="14" bestFit="1" customWidth="1"/>
    <col min="5132" max="5132" width="11" style="14" customWidth="1"/>
    <col min="5133" max="5379" width="11.42578125" style="14"/>
    <col min="5380" max="5380" width="13.85546875" style="14" bestFit="1" customWidth="1"/>
    <col min="5381" max="5381" width="11.42578125" style="14" bestFit="1"/>
    <col min="5382" max="5383" width="14.42578125" style="14" bestFit="1" customWidth="1"/>
    <col min="5384" max="5384" width="14.140625" style="14" bestFit="1" customWidth="1"/>
    <col min="5385" max="5385" width="14.28515625" style="14" bestFit="1" customWidth="1"/>
    <col min="5386" max="5386" width="14" style="14" bestFit="1" customWidth="1"/>
    <col min="5387" max="5387" width="20.7109375" style="14" bestFit="1" customWidth="1"/>
    <col min="5388" max="5388" width="11" style="14" customWidth="1"/>
    <col min="5389" max="5635" width="11.42578125" style="14"/>
    <col min="5636" max="5636" width="13.85546875" style="14" bestFit="1" customWidth="1"/>
    <col min="5637" max="5637" width="11.42578125" style="14" bestFit="1"/>
    <col min="5638" max="5639" width="14.42578125" style="14" bestFit="1" customWidth="1"/>
    <col min="5640" max="5640" width="14.140625" style="14" bestFit="1" customWidth="1"/>
    <col min="5641" max="5641" width="14.28515625" style="14" bestFit="1" customWidth="1"/>
    <col min="5642" max="5642" width="14" style="14" bestFit="1" customWidth="1"/>
    <col min="5643" max="5643" width="20.7109375" style="14" bestFit="1" customWidth="1"/>
    <col min="5644" max="5644" width="11" style="14" customWidth="1"/>
    <col min="5645" max="5891" width="11.42578125" style="14"/>
    <col min="5892" max="5892" width="13.85546875" style="14" bestFit="1" customWidth="1"/>
    <col min="5893" max="5893" width="11.42578125" style="14" bestFit="1"/>
    <col min="5894" max="5895" width="14.42578125" style="14" bestFit="1" customWidth="1"/>
    <col min="5896" max="5896" width="14.140625" style="14" bestFit="1" customWidth="1"/>
    <col min="5897" max="5897" width="14.28515625" style="14" bestFit="1" customWidth="1"/>
    <col min="5898" max="5898" width="14" style="14" bestFit="1" customWidth="1"/>
    <col min="5899" max="5899" width="20.7109375" style="14" bestFit="1" customWidth="1"/>
    <col min="5900" max="5900" width="11" style="14" customWidth="1"/>
    <col min="5901" max="6147" width="11.42578125" style="14"/>
    <col min="6148" max="6148" width="13.85546875" style="14" bestFit="1" customWidth="1"/>
    <col min="6149" max="6149" width="11.42578125" style="14" bestFit="1"/>
    <col min="6150" max="6151" width="14.42578125" style="14" bestFit="1" customWidth="1"/>
    <col min="6152" max="6152" width="14.140625" style="14" bestFit="1" customWidth="1"/>
    <col min="6153" max="6153" width="14.28515625" style="14" bestFit="1" customWidth="1"/>
    <col min="6154" max="6154" width="14" style="14" bestFit="1" customWidth="1"/>
    <col min="6155" max="6155" width="20.7109375" style="14" bestFit="1" customWidth="1"/>
    <col min="6156" max="6156" width="11" style="14" customWidth="1"/>
    <col min="6157" max="6403" width="11.42578125" style="14"/>
    <col min="6404" max="6404" width="13.85546875" style="14" bestFit="1" customWidth="1"/>
    <col min="6405" max="6405" width="11.42578125" style="14" bestFit="1"/>
    <col min="6406" max="6407" width="14.42578125" style="14" bestFit="1" customWidth="1"/>
    <col min="6408" max="6408" width="14.140625" style="14" bestFit="1" customWidth="1"/>
    <col min="6409" max="6409" width="14.28515625" style="14" bestFit="1" customWidth="1"/>
    <col min="6410" max="6410" width="14" style="14" bestFit="1" customWidth="1"/>
    <col min="6411" max="6411" width="20.7109375" style="14" bestFit="1" customWidth="1"/>
    <col min="6412" max="6412" width="11" style="14" customWidth="1"/>
    <col min="6413" max="6659" width="11.42578125" style="14"/>
    <col min="6660" max="6660" width="13.85546875" style="14" bestFit="1" customWidth="1"/>
    <col min="6661" max="6661" width="11.42578125" style="14" bestFit="1"/>
    <col min="6662" max="6663" width="14.42578125" style="14" bestFit="1" customWidth="1"/>
    <col min="6664" max="6664" width="14.140625" style="14" bestFit="1" customWidth="1"/>
    <col min="6665" max="6665" width="14.28515625" style="14" bestFit="1" customWidth="1"/>
    <col min="6666" max="6666" width="14" style="14" bestFit="1" customWidth="1"/>
    <col min="6667" max="6667" width="20.7109375" style="14" bestFit="1" customWidth="1"/>
    <col min="6668" max="6668" width="11" style="14" customWidth="1"/>
    <col min="6669" max="6915" width="11.42578125" style="14"/>
    <col min="6916" max="6916" width="13.85546875" style="14" bestFit="1" customWidth="1"/>
    <col min="6917" max="6917" width="11.42578125" style="14" bestFit="1"/>
    <col min="6918" max="6919" width="14.42578125" style="14" bestFit="1" customWidth="1"/>
    <col min="6920" max="6920" width="14.140625" style="14" bestFit="1" customWidth="1"/>
    <col min="6921" max="6921" width="14.28515625" style="14" bestFit="1" customWidth="1"/>
    <col min="6922" max="6922" width="14" style="14" bestFit="1" customWidth="1"/>
    <col min="6923" max="6923" width="20.7109375" style="14" bestFit="1" customWidth="1"/>
    <col min="6924" max="6924" width="11" style="14" customWidth="1"/>
    <col min="6925" max="7171" width="11.42578125" style="14"/>
    <col min="7172" max="7172" width="13.85546875" style="14" bestFit="1" customWidth="1"/>
    <col min="7173" max="7173" width="11.42578125" style="14" bestFit="1"/>
    <col min="7174" max="7175" width="14.42578125" style="14" bestFit="1" customWidth="1"/>
    <col min="7176" max="7176" width="14.140625" style="14" bestFit="1" customWidth="1"/>
    <col min="7177" max="7177" width="14.28515625" style="14" bestFit="1" customWidth="1"/>
    <col min="7178" max="7178" width="14" style="14" bestFit="1" customWidth="1"/>
    <col min="7179" max="7179" width="20.7109375" style="14" bestFit="1" customWidth="1"/>
    <col min="7180" max="7180" width="11" style="14" customWidth="1"/>
    <col min="7181" max="7427" width="11.42578125" style="14"/>
    <col min="7428" max="7428" width="13.85546875" style="14" bestFit="1" customWidth="1"/>
    <col min="7429" max="7429" width="11.42578125" style="14" bestFit="1"/>
    <col min="7430" max="7431" width="14.42578125" style="14" bestFit="1" customWidth="1"/>
    <col min="7432" max="7432" width="14.140625" style="14" bestFit="1" customWidth="1"/>
    <col min="7433" max="7433" width="14.28515625" style="14" bestFit="1" customWidth="1"/>
    <col min="7434" max="7434" width="14" style="14" bestFit="1" customWidth="1"/>
    <col min="7435" max="7435" width="20.7109375" style="14" bestFit="1" customWidth="1"/>
    <col min="7436" max="7436" width="11" style="14" customWidth="1"/>
    <col min="7437" max="7683" width="11.42578125" style="14"/>
    <col min="7684" max="7684" width="13.85546875" style="14" bestFit="1" customWidth="1"/>
    <col min="7685" max="7685" width="11.42578125" style="14" bestFit="1"/>
    <col min="7686" max="7687" width="14.42578125" style="14" bestFit="1" customWidth="1"/>
    <col min="7688" max="7688" width="14.140625" style="14" bestFit="1" customWidth="1"/>
    <col min="7689" max="7689" width="14.28515625" style="14" bestFit="1" customWidth="1"/>
    <col min="7690" max="7690" width="14" style="14" bestFit="1" customWidth="1"/>
    <col min="7691" max="7691" width="20.7109375" style="14" bestFit="1" customWidth="1"/>
    <col min="7692" max="7692" width="11" style="14" customWidth="1"/>
    <col min="7693" max="7939" width="11.42578125" style="14"/>
    <col min="7940" max="7940" width="13.85546875" style="14" bestFit="1" customWidth="1"/>
    <col min="7941" max="7941" width="11.42578125" style="14" bestFit="1"/>
    <col min="7942" max="7943" width="14.42578125" style="14" bestFit="1" customWidth="1"/>
    <col min="7944" max="7944" width="14.140625" style="14" bestFit="1" customWidth="1"/>
    <col min="7945" max="7945" width="14.28515625" style="14" bestFit="1" customWidth="1"/>
    <col min="7946" max="7946" width="14" style="14" bestFit="1" customWidth="1"/>
    <col min="7947" max="7947" width="20.7109375" style="14" bestFit="1" customWidth="1"/>
    <col min="7948" max="7948" width="11" style="14" customWidth="1"/>
    <col min="7949" max="8195" width="11.42578125" style="14"/>
    <col min="8196" max="8196" width="13.85546875" style="14" bestFit="1" customWidth="1"/>
    <col min="8197" max="8197" width="11.42578125" style="14" bestFit="1"/>
    <col min="8198" max="8199" width="14.42578125" style="14" bestFit="1" customWidth="1"/>
    <col min="8200" max="8200" width="14.140625" style="14" bestFit="1" customWidth="1"/>
    <col min="8201" max="8201" width="14.28515625" style="14" bestFit="1" customWidth="1"/>
    <col min="8202" max="8202" width="14" style="14" bestFit="1" customWidth="1"/>
    <col min="8203" max="8203" width="20.7109375" style="14" bestFit="1" customWidth="1"/>
    <col min="8204" max="8204" width="11" style="14" customWidth="1"/>
    <col min="8205" max="8451" width="11.42578125" style="14"/>
    <col min="8452" max="8452" width="13.85546875" style="14" bestFit="1" customWidth="1"/>
    <col min="8453" max="8453" width="11.42578125" style="14" bestFit="1"/>
    <col min="8454" max="8455" width="14.42578125" style="14" bestFit="1" customWidth="1"/>
    <col min="8456" max="8456" width="14.140625" style="14" bestFit="1" customWidth="1"/>
    <col min="8457" max="8457" width="14.28515625" style="14" bestFit="1" customWidth="1"/>
    <col min="8458" max="8458" width="14" style="14" bestFit="1" customWidth="1"/>
    <col min="8459" max="8459" width="20.7109375" style="14" bestFit="1" customWidth="1"/>
    <col min="8460" max="8460" width="11" style="14" customWidth="1"/>
    <col min="8461" max="8707" width="11.42578125" style="14"/>
    <col min="8708" max="8708" width="13.85546875" style="14" bestFit="1" customWidth="1"/>
    <col min="8709" max="8709" width="11.42578125" style="14" bestFit="1"/>
    <col min="8710" max="8711" width="14.42578125" style="14" bestFit="1" customWidth="1"/>
    <col min="8712" max="8712" width="14.140625" style="14" bestFit="1" customWidth="1"/>
    <col min="8713" max="8713" width="14.28515625" style="14" bestFit="1" customWidth="1"/>
    <col min="8714" max="8714" width="14" style="14" bestFit="1" customWidth="1"/>
    <col min="8715" max="8715" width="20.7109375" style="14" bestFit="1" customWidth="1"/>
    <col min="8716" max="8716" width="11" style="14" customWidth="1"/>
    <col min="8717" max="8963" width="11.42578125" style="14"/>
    <col min="8964" max="8964" width="13.85546875" style="14" bestFit="1" customWidth="1"/>
    <col min="8965" max="8965" width="11.42578125" style="14" bestFit="1"/>
    <col min="8966" max="8967" width="14.42578125" style="14" bestFit="1" customWidth="1"/>
    <col min="8968" max="8968" width="14.140625" style="14" bestFit="1" customWidth="1"/>
    <col min="8969" max="8969" width="14.28515625" style="14" bestFit="1" customWidth="1"/>
    <col min="8970" max="8970" width="14" style="14" bestFit="1" customWidth="1"/>
    <col min="8971" max="8971" width="20.7109375" style="14" bestFit="1" customWidth="1"/>
    <col min="8972" max="8972" width="11" style="14" customWidth="1"/>
    <col min="8973" max="9219" width="11.42578125" style="14"/>
    <col min="9220" max="9220" width="13.85546875" style="14" bestFit="1" customWidth="1"/>
    <col min="9221" max="9221" width="11.42578125" style="14" bestFit="1"/>
    <col min="9222" max="9223" width="14.42578125" style="14" bestFit="1" customWidth="1"/>
    <col min="9224" max="9224" width="14.140625" style="14" bestFit="1" customWidth="1"/>
    <col min="9225" max="9225" width="14.28515625" style="14" bestFit="1" customWidth="1"/>
    <col min="9226" max="9226" width="14" style="14" bestFit="1" customWidth="1"/>
    <col min="9227" max="9227" width="20.7109375" style="14" bestFit="1" customWidth="1"/>
    <col min="9228" max="9228" width="11" style="14" customWidth="1"/>
    <col min="9229" max="9475" width="11.42578125" style="14"/>
    <col min="9476" max="9476" width="13.85546875" style="14" bestFit="1" customWidth="1"/>
    <col min="9477" max="9477" width="11.42578125" style="14" bestFit="1"/>
    <col min="9478" max="9479" width="14.42578125" style="14" bestFit="1" customWidth="1"/>
    <col min="9480" max="9480" width="14.140625" style="14" bestFit="1" customWidth="1"/>
    <col min="9481" max="9481" width="14.28515625" style="14" bestFit="1" customWidth="1"/>
    <col min="9482" max="9482" width="14" style="14" bestFit="1" customWidth="1"/>
    <col min="9483" max="9483" width="20.7109375" style="14" bestFit="1" customWidth="1"/>
    <col min="9484" max="9484" width="11" style="14" customWidth="1"/>
    <col min="9485" max="9731" width="11.42578125" style="14"/>
    <col min="9732" max="9732" width="13.85546875" style="14" bestFit="1" customWidth="1"/>
    <col min="9733" max="9733" width="11.42578125" style="14" bestFit="1"/>
    <col min="9734" max="9735" width="14.42578125" style="14" bestFit="1" customWidth="1"/>
    <col min="9736" max="9736" width="14.140625" style="14" bestFit="1" customWidth="1"/>
    <col min="9737" max="9737" width="14.28515625" style="14" bestFit="1" customWidth="1"/>
    <col min="9738" max="9738" width="14" style="14" bestFit="1" customWidth="1"/>
    <col min="9739" max="9739" width="20.7109375" style="14" bestFit="1" customWidth="1"/>
    <col min="9740" max="9740" width="11" style="14" customWidth="1"/>
    <col min="9741" max="9987" width="11.42578125" style="14"/>
    <col min="9988" max="9988" width="13.85546875" style="14" bestFit="1" customWidth="1"/>
    <col min="9989" max="9989" width="11.42578125" style="14" bestFit="1"/>
    <col min="9990" max="9991" width="14.42578125" style="14" bestFit="1" customWidth="1"/>
    <col min="9992" max="9992" width="14.140625" style="14" bestFit="1" customWidth="1"/>
    <col min="9993" max="9993" width="14.28515625" style="14" bestFit="1" customWidth="1"/>
    <col min="9994" max="9994" width="14" style="14" bestFit="1" customWidth="1"/>
    <col min="9995" max="9995" width="20.7109375" style="14" bestFit="1" customWidth="1"/>
    <col min="9996" max="9996" width="11" style="14" customWidth="1"/>
    <col min="9997" max="10243" width="11.42578125" style="14"/>
    <col min="10244" max="10244" width="13.85546875" style="14" bestFit="1" customWidth="1"/>
    <col min="10245" max="10245" width="11.42578125" style="14" bestFit="1"/>
    <col min="10246" max="10247" width="14.42578125" style="14" bestFit="1" customWidth="1"/>
    <col min="10248" max="10248" width="14.140625" style="14" bestFit="1" customWidth="1"/>
    <col min="10249" max="10249" width="14.28515625" style="14" bestFit="1" customWidth="1"/>
    <col min="10250" max="10250" width="14" style="14" bestFit="1" customWidth="1"/>
    <col min="10251" max="10251" width="20.7109375" style="14" bestFit="1" customWidth="1"/>
    <col min="10252" max="10252" width="11" style="14" customWidth="1"/>
    <col min="10253" max="10499" width="11.42578125" style="14"/>
    <col min="10500" max="10500" width="13.85546875" style="14" bestFit="1" customWidth="1"/>
    <col min="10501" max="10501" width="11.42578125" style="14" bestFit="1"/>
    <col min="10502" max="10503" width="14.42578125" style="14" bestFit="1" customWidth="1"/>
    <col min="10504" max="10504" width="14.140625" style="14" bestFit="1" customWidth="1"/>
    <col min="10505" max="10505" width="14.28515625" style="14" bestFit="1" customWidth="1"/>
    <col min="10506" max="10506" width="14" style="14" bestFit="1" customWidth="1"/>
    <col min="10507" max="10507" width="20.7109375" style="14" bestFit="1" customWidth="1"/>
    <col min="10508" max="10508" width="11" style="14" customWidth="1"/>
    <col min="10509" max="10755" width="11.42578125" style="14"/>
    <col min="10756" max="10756" width="13.85546875" style="14" bestFit="1" customWidth="1"/>
    <col min="10757" max="10757" width="11.42578125" style="14" bestFit="1"/>
    <col min="10758" max="10759" width="14.42578125" style="14" bestFit="1" customWidth="1"/>
    <col min="10760" max="10760" width="14.140625" style="14" bestFit="1" customWidth="1"/>
    <col min="10761" max="10761" width="14.28515625" style="14" bestFit="1" customWidth="1"/>
    <col min="10762" max="10762" width="14" style="14" bestFit="1" customWidth="1"/>
    <col min="10763" max="10763" width="20.7109375" style="14" bestFit="1" customWidth="1"/>
    <col min="10764" max="10764" width="11" style="14" customWidth="1"/>
    <col min="10765" max="11011" width="11.42578125" style="14"/>
    <col min="11012" max="11012" width="13.85546875" style="14" bestFit="1" customWidth="1"/>
    <col min="11013" max="11013" width="11.42578125" style="14" bestFit="1"/>
    <col min="11014" max="11015" width="14.42578125" style="14" bestFit="1" customWidth="1"/>
    <col min="11016" max="11016" width="14.140625" style="14" bestFit="1" customWidth="1"/>
    <col min="11017" max="11017" width="14.28515625" style="14" bestFit="1" customWidth="1"/>
    <col min="11018" max="11018" width="14" style="14" bestFit="1" customWidth="1"/>
    <col min="11019" max="11019" width="20.7109375" style="14" bestFit="1" customWidth="1"/>
    <col min="11020" max="11020" width="11" style="14" customWidth="1"/>
    <col min="11021" max="11267" width="11.42578125" style="14"/>
    <col min="11268" max="11268" width="13.85546875" style="14" bestFit="1" customWidth="1"/>
    <col min="11269" max="11269" width="11.42578125" style="14" bestFit="1"/>
    <col min="11270" max="11271" width="14.42578125" style="14" bestFit="1" customWidth="1"/>
    <col min="11272" max="11272" width="14.140625" style="14" bestFit="1" customWidth="1"/>
    <col min="11273" max="11273" width="14.28515625" style="14" bestFit="1" customWidth="1"/>
    <col min="11274" max="11274" width="14" style="14" bestFit="1" customWidth="1"/>
    <col min="11275" max="11275" width="20.7109375" style="14" bestFit="1" customWidth="1"/>
    <col min="11276" max="11276" width="11" style="14" customWidth="1"/>
    <col min="11277" max="11523" width="11.42578125" style="14"/>
    <col min="11524" max="11524" width="13.85546875" style="14" bestFit="1" customWidth="1"/>
    <col min="11525" max="11525" width="11.42578125" style="14" bestFit="1"/>
    <col min="11526" max="11527" width="14.42578125" style="14" bestFit="1" customWidth="1"/>
    <col min="11528" max="11528" width="14.140625" style="14" bestFit="1" customWidth="1"/>
    <col min="11529" max="11529" width="14.28515625" style="14" bestFit="1" customWidth="1"/>
    <col min="11530" max="11530" width="14" style="14" bestFit="1" customWidth="1"/>
    <col min="11531" max="11531" width="20.7109375" style="14" bestFit="1" customWidth="1"/>
    <col min="11532" max="11532" width="11" style="14" customWidth="1"/>
    <col min="11533" max="11779" width="11.42578125" style="14"/>
    <col min="11780" max="11780" width="13.85546875" style="14" bestFit="1" customWidth="1"/>
    <col min="11781" max="11781" width="11.42578125" style="14" bestFit="1"/>
    <col min="11782" max="11783" width="14.42578125" style="14" bestFit="1" customWidth="1"/>
    <col min="11784" max="11784" width="14.140625" style="14" bestFit="1" customWidth="1"/>
    <col min="11785" max="11785" width="14.28515625" style="14" bestFit="1" customWidth="1"/>
    <col min="11786" max="11786" width="14" style="14" bestFit="1" customWidth="1"/>
    <col min="11787" max="11787" width="20.7109375" style="14" bestFit="1" customWidth="1"/>
    <col min="11788" max="11788" width="11" style="14" customWidth="1"/>
    <col min="11789" max="12035" width="11.42578125" style="14"/>
    <col min="12036" max="12036" width="13.85546875" style="14" bestFit="1" customWidth="1"/>
    <col min="12037" max="12037" width="11.42578125" style="14" bestFit="1"/>
    <col min="12038" max="12039" width="14.42578125" style="14" bestFit="1" customWidth="1"/>
    <col min="12040" max="12040" width="14.140625" style="14" bestFit="1" customWidth="1"/>
    <col min="12041" max="12041" width="14.28515625" style="14" bestFit="1" customWidth="1"/>
    <col min="12042" max="12042" width="14" style="14" bestFit="1" customWidth="1"/>
    <col min="12043" max="12043" width="20.7109375" style="14" bestFit="1" customWidth="1"/>
    <col min="12044" max="12044" width="11" style="14" customWidth="1"/>
    <col min="12045" max="12291" width="11.42578125" style="14"/>
    <col min="12292" max="12292" width="13.85546875" style="14" bestFit="1" customWidth="1"/>
    <col min="12293" max="12293" width="11.42578125" style="14" bestFit="1"/>
    <col min="12294" max="12295" width="14.42578125" style="14" bestFit="1" customWidth="1"/>
    <col min="12296" max="12296" width="14.140625" style="14" bestFit="1" customWidth="1"/>
    <col min="12297" max="12297" width="14.28515625" style="14" bestFit="1" customWidth="1"/>
    <col min="12298" max="12298" width="14" style="14" bestFit="1" customWidth="1"/>
    <col min="12299" max="12299" width="20.7109375" style="14" bestFit="1" customWidth="1"/>
    <col min="12300" max="12300" width="11" style="14" customWidth="1"/>
    <col min="12301" max="12547" width="11.42578125" style="14"/>
    <col min="12548" max="12548" width="13.85546875" style="14" bestFit="1" customWidth="1"/>
    <col min="12549" max="12549" width="11.42578125" style="14" bestFit="1"/>
    <col min="12550" max="12551" width="14.42578125" style="14" bestFit="1" customWidth="1"/>
    <col min="12552" max="12552" width="14.140625" style="14" bestFit="1" customWidth="1"/>
    <col min="12553" max="12553" width="14.28515625" style="14" bestFit="1" customWidth="1"/>
    <col min="12554" max="12554" width="14" style="14" bestFit="1" customWidth="1"/>
    <col min="12555" max="12555" width="20.7109375" style="14" bestFit="1" customWidth="1"/>
    <col min="12556" max="12556" width="11" style="14" customWidth="1"/>
    <col min="12557" max="12803" width="11.42578125" style="14"/>
    <col min="12804" max="12804" width="13.85546875" style="14" bestFit="1" customWidth="1"/>
    <col min="12805" max="12805" width="11.42578125" style="14" bestFit="1"/>
    <col min="12806" max="12807" width="14.42578125" style="14" bestFit="1" customWidth="1"/>
    <col min="12808" max="12808" width="14.140625" style="14" bestFit="1" customWidth="1"/>
    <col min="12809" max="12809" width="14.28515625" style="14" bestFit="1" customWidth="1"/>
    <col min="12810" max="12810" width="14" style="14" bestFit="1" customWidth="1"/>
    <col min="12811" max="12811" width="20.7109375" style="14" bestFit="1" customWidth="1"/>
    <col min="12812" max="12812" width="11" style="14" customWidth="1"/>
    <col min="12813" max="13059" width="11.42578125" style="14"/>
    <col min="13060" max="13060" width="13.85546875" style="14" bestFit="1" customWidth="1"/>
    <col min="13061" max="13061" width="11.42578125" style="14" bestFit="1"/>
    <col min="13062" max="13063" width="14.42578125" style="14" bestFit="1" customWidth="1"/>
    <col min="13064" max="13064" width="14.140625" style="14" bestFit="1" customWidth="1"/>
    <col min="13065" max="13065" width="14.28515625" style="14" bestFit="1" customWidth="1"/>
    <col min="13066" max="13066" width="14" style="14" bestFit="1" customWidth="1"/>
    <col min="13067" max="13067" width="20.7109375" style="14" bestFit="1" customWidth="1"/>
    <col min="13068" max="13068" width="11" style="14" customWidth="1"/>
    <col min="13069" max="13315" width="11.42578125" style="14"/>
    <col min="13316" max="13316" width="13.85546875" style="14" bestFit="1" customWidth="1"/>
    <col min="13317" max="13317" width="11.42578125" style="14" bestFit="1"/>
    <col min="13318" max="13319" width="14.42578125" style="14" bestFit="1" customWidth="1"/>
    <col min="13320" max="13320" width="14.140625" style="14" bestFit="1" customWidth="1"/>
    <col min="13321" max="13321" width="14.28515625" style="14" bestFit="1" customWidth="1"/>
    <col min="13322" max="13322" width="14" style="14" bestFit="1" customWidth="1"/>
    <col min="13323" max="13323" width="20.7109375" style="14" bestFit="1" customWidth="1"/>
    <col min="13324" max="13324" width="11" style="14" customWidth="1"/>
    <col min="13325" max="13571" width="11.42578125" style="14"/>
    <col min="13572" max="13572" width="13.85546875" style="14" bestFit="1" customWidth="1"/>
    <col min="13573" max="13573" width="11.42578125" style="14" bestFit="1"/>
    <col min="13574" max="13575" width="14.42578125" style="14" bestFit="1" customWidth="1"/>
    <col min="13576" max="13576" width="14.140625" style="14" bestFit="1" customWidth="1"/>
    <col min="13577" max="13577" width="14.28515625" style="14" bestFit="1" customWidth="1"/>
    <col min="13578" max="13578" width="14" style="14" bestFit="1" customWidth="1"/>
    <col min="13579" max="13579" width="20.7109375" style="14" bestFit="1" customWidth="1"/>
    <col min="13580" max="13580" width="11" style="14" customWidth="1"/>
    <col min="13581" max="13827" width="11.42578125" style="14"/>
    <col min="13828" max="13828" width="13.85546875" style="14" bestFit="1" customWidth="1"/>
    <col min="13829" max="13829" width="11.42578125" style="14" bestFit="1"/>
    <col min="13830" max="13831" width="14.42578125" style="14" bestFit="1" customWidth="1"/>
    <col min="13832" max="13832" width="14.140625" style="14" bestFit="1" customWidth="1"/>
    <col min="13833" max="13833" width="14.28515625" style="14" bestFit="1" customWidth="1"/>
    <col min="13834" max="13834" width="14" style="14" bestFit="1" customWidth="1"/>
    <col min="13835" max="13835" width="20.7109375" style="14" bestFit="1" customWidth="1"/>
    <col min="13836" max="13836" width="11" style="14" customWidth="1"/>
    <col min="13837" max="14083" width="11.42578125" style="14"/>
    <col min="14084" max="14084" width="13.85546875" style="14" bestFit="1" customWidth="1"/>
    <col min="14085" max="14085" width="11.42578125" style="14" bestFit="1"/>
    <col min="14086" max="14087" width="14.42578125" style="14" bestFit="1" customWidth="1"/>
    <col min="14088" max="14088" width="14.140625" style="14" bestFit="1" customWidth="1"/>
    <col min="14089" max="14089" width="14.28515625" style="14" bestFit="1" customWidth="1"/>
    <col min="14090" max="14090" width="14" style="14" bestFit="1" customWidth="1"/>
    <col min="14091" max="14091" width="20.7109375" style="14" bestFit="1" customWidth="1"/>
    <col min="14092" max="14092" width="11" style="14" customWidth="1"/>
    <col min="14093" max="14339" width="11.42578125" style="14"/>
    <col min="14340" max="14340" width="13.85546875" style="14" bestFit="1" customWidth="1"/>
    <col min="14341" max="14341" width="11.42578125" style="14" bestFit="1"/>
    <col min="14342" max="14343" width="14.42578125" style="14" bestFit="1" customWidth="1"/>
    <col min="14344" max="14344" width="14.140625" style="14" bestFit="1" customWidth="1"/>
    <col min="14345" max="14345" width="14.28515625" style="14" bestFit="1" customWidth="1"/>
    <col min="14346" max="14346" width="14" style="14" bestFit="1" customWidth="1"/>
    <col min="14347" max="14347" width="20.7109375" style="14" bestFit="1" customWidth="1"/>
    <col min="14348" max="14348" width="11" style="14" customWidth="1"/>
    <col min="14349" max="14595" width="11.42578125" style="14"/>
    <col min="14596" max="14596" width="13.85546875" style="14" bestFit="1" customWidth="1"/>
    <col min="14597" max="14597" width="11.42578125" style="14" bestFit="1"/>
    <col min="14598" max="14599" width="14.42578125" style="14" bestFit="1" customWidth="1"/>
    <col min="14600" max="14600" width="14.140625" style="14" bestFit="1" customWidth="1"/>
    <col min="14601" max="14601" width="14.28515625" style="14" bestFit="1" customWidth="1"/>
    <col min="14602" max="14602" width="14" style="14" bestFit="1" customWidth="1"/>
    <col min="14603" max="14603" width="20.7109375" style="14" bestFit="1" customWidth="1"/>
    <col min="14604" max="14604" width="11" style="14" customWidth="1"/>
    <col min="14605" max="14851" width="11.42578125" style="14"/>
    <col min="14852" max="14852" width="13.85546875" style="14" bestFit="1" customWidth="1"/>
    <col min="14853" max="14853" width="11.42578125" style="14" bestFit="1"/>
    <col min="14854" max="14855" width="14.42578125" style="14" bestFit="1" customWidth="1"/>
    <col min="14856" max="14856" width="14.140625" style="14" bestFit="1" customWidth="1"/>
    <col min="14857" max="14857" width="14.28515625" style="14" bestFit="1" customWidth="1"/>
    <col min="14858" max="14858" width="14" style="14" bestFit="1" customWidth="1"/>
    <col min="14859" max="14859" width="20.7109375" style="14" bestFit="1" customWidth="1"/>
    <col min="14860" max="14860" width="11" style="14" customWidth="1"/>
    <col min="14861" max="15107" width="11.42578125" style="14"/>
    <col min="15108" max="15108" width="13.85546875" style="14" bestFit="1" customWidth="1"/>
    <col min="15109" max="15109" width="11.42578125" style="14" bestFit="1"/>
    <col min="15110" max="15111" width="14.42578125" style="14" bestFit="1" customWidth="1"/>
    <col min="15112" max="15112" width="14.140625" style="14" bestFit="1" customWidth="1"/>
    <col min="15113" max="15113" width="14.28515625" style="14" bestFit="1" customWidth="1"/>
    <col min="15114" max="15114" width="14" style="14" bestFit="1" customWidth="1"/>
    <col min="15115" max="15115" width="20.7109375" style="14" bestFit="1" customWidth="1"/>
    <col min="15116" max="15116" width="11" style="14" customWidth="1"/>
    <col min="15117" max="15363" width="11.42578125" style="14"/>
    <col min="15364" max="15364" width="13.85546875" style="14" bestFit="1" customWidth="1"/>
    <col min="15365" max="15365" width="11.42578125" style="14" bestFit="1"/>
    <col min="15366" max="15367" width="14.42578125" style="14" bestFit="1" customWidth="1"/>
    <col min="15368" max="15368" width="14.140625" style="14" bestFit="1" customWidth="1"/>
    <col min="15369" max="15369" width="14.28515625" style="14" bestFit="1" customWidth="1"/>
    <col min="15370" max="15370" width="14" style="14" bestFit="1" customWidth="1"/>
    <col min="15371" max="15371" width="20.7109375" style="14" bestFit="1" customWidth="1"/>
    <col min="15372" max="15372" width="11" style="14" customWidth="1"/>
    <col min="15373" max="15619" width="11.42578125" style="14"/>
    <col min="15620" max="15620" width="13.85546875" style="14" bestFit="1" customWidth="1"/>
    <col min="15621" max="15621" width="11.42578125" style="14" bestFit="1"/>
    <col min="15622" max="15623" width="14.42578125" style="14" bestFit="1" customWidth="1"/>
    <col min="15624" max="15624" width="14.140625" style="14" bestFit="1" customWidth="1"/>
    <col min="15625" max="15625" width="14.28515625" style="14" bestFit="1" customWidth="1"/>
    <col min="15626" max="15626" width="14" style="14" bestFit="1" customWidth="1"/>
    <col min="15627" max="15627" width="20.7109375" style="14" bestFit="1" customWidth="1"/>
    <col min="15628" max="15628" width="11" style="14" customWidth="1"/>
    <col min="15629" max="15875" width="11.42578125" style="14"/>
    <col min="15876" max="15876" width="13.85546875" style="14" bestFit="1" customWidth="1"/>
    <col min="15877" max="15877" width="11.42578125" style="14" bestFit="1"/>
    <col min="15878" max="15879" width="14.42578125" style="14" bestFit="1" customWidth="1"/>
    <col min="15880" max="15880" width="14.140625" style="14" bestFit="1" customWidth="1"/>
    <col min="15881" max="15881" width="14.28515625" style="14" bestFit="1" customWidth="1"/>
    <col min="15882" max="15882" width="14" style="14" bestFit="1" customWidth="1"/>
    <col min="15883" max="15883" width="20.7109375" style="14" bestFit="1" customWidth="1"/>
    <col min="15884" max="15884" width="11" style="14" customWidth="1"/>
    <col min="15885" max="16131" width="11.42578125" style="14"/>
    <col min="16132" max="16132" width="13.85546875" style="14" bestFit="1" customWidth="1"/>
    <col min="16133" max="16133" width="11.42578125" style="14" bestFit="1"/>
    <col min="16134" max="16135" width="14.42578125" style="14" bestFit="1" customWidth="1"/>
    <col min="16136" max="16136" width="14.140625" style="14" bestFit="1" customWidth="1"/>
    <col min="16137" max="16137" width="14.28515625" style="14" bestFit="1" customWidth="1"/>
    <col min="16138" max="16138" width="14" style="14" bestFit="1" customWidth="1"/>
    <col min="16139" max="16139" width="20.7109375" style="14" bestFit="1" customWidth="1"/>
    <col min="16140" max="16140" width="11" style="14" customWidth="1"/>
    <col min="16141" max="16384" width="11.42578125" style="14"/>
  </cols>
  <sheetData>
    <row r="1" spans="1:13" ht="15.75">
      <c r="B1" s="27"/>
      <c r="D1" s="27"/>
      <c r="E1" s="27"/>
      <c r="F1" s="26"/>
      <c r="G1" s="27"/>
      <c r="H1" s="26"/>
      <c r="I1" s="26"/>
      <c r="J1" s="26"/>
      <c r="K1" s="27"/>
      <c r="L1" s="26"/>
    </row>
    <row r="2" spans="1:13" ht="15.75">
      <c r="A2" s="25" t="s">
        <v>2</v>
      </c>
      <c r="B2" s="20" t="s">
        <v>15</v>
      </c>
      <c r="C2" s="20" t="s">
        <v>16</v>
      </c>
      <c r="D2" s="20" t="s">
        <v>17</v>
      </c>
      <c r="E2" s="20" t="s">
        <v>1</v>
      </c>
      <c r="F2" s="20" t="s">
        <v>0</v>
      </c>
      <c r="G2" s="45" t="s">
        <v>18</v>
      </c>
      <c r="H2" s="45" t="s">
        <v>19</v>
      </c>
      <c r="I2" s="45" t="s">
        <v>20</v>
      </c>
      <c r="J2" s="45" t="s">
        <v>21</v>
      </c>
      <c r="K2" s="45" t="s">
        <v>22</v>
      </c>
      <c r="L2" s="45"/>
      <c r="M2" s="45" t="s">
        <v>23</v>
      </c>
    </row>
    <row r="3" spans="1:13" ht="15.75">
      <c r="A3" s="20">
        <v>1927</v>
      </c>
      <c r="B3" s="20">
        <v>17.66</v>
      </c>
      <c r="C3" s="46">
        <f>D3*B3</f>
        <v>0.61810000000000009</v>
      </c>
      <c r="D3" s="23">
        <v>3.5000000000000003E-2</v>
      </c>
      <c r="E3" s="24">
        <v>3.1699999999999999E-2</v>
      </c>
      <c r="F3" s="20"/>
      <c r="G3" s="47">
        <f>'[6]Moody''s Rates'!C20</f>
        <v>4.4600000000000001E-2</v>
      </c>
      <c r="H3" s="27"/>
      <c r="I3" s="48">
        <f>'[6]Moody''s Rates'!K20</f>
        <v>5.3200000000000004E-2</v>
      </c>
      <c r="J3" s="27"/>
      <c r="K3" s="20"/>
      <c r="L3" s="27"/>
    </row>
    <row r="4" spans="1:13" ht="15.75">
      <c r="A4" s="20">
        <v>1928</v>
      </c>
      <c r="B4" s="20">
        <v>24.35</v>
      </c>
      <c r="C4" s="46">
        <f t="shared" ref="C4:C35" si="0">D4*B4</f>
        <v>1.04705</v>
      </c>
      <c r="D4" s="23">
        <v>4.2999999999999997E-2</v>
      </c>
      <c r="E4" s="24">
        <v>3.4500000000000003E-2</v>
      </c>
      <c r="F4" s="23">
        <f t="shared" ref="F4:J38" si="1">((E3*(1-(1+E4)^(-10))/E4+1/(1+E4)^10)-1)+E3</f>
        <v>8.354708589799302E-3</v>
      </c>
      <c r="G4" s="47">
        <f>'[6]Moody''s Rates'!C21</f>
        <v>4.6100000000000002E-2</v>
      </c>
      <c r="H4" s="23">
        <f t="shared" si="1"/>
        <v>3.279485596639467E-2</v>
      </c>
      <c r="I4" s="48">
        <f>'[6]Moody''s Rates'!K21</f>
        <v>5.5999999999999994E-2</v>
      </c>
      <c r="J4" s="49">
        <f t="shared" si="1"/>
        <v>3.2195514702324381E-2</v>
      </c>
      <c r="K4" s="50">
        <v>1.4910639283360227E-2</v>
      </c>
      <c r="L4" s="51"/>
    </row>
    <row r="5" spans="1:13" ht="15.75">
      <c r="A5" s="20">
        <v>1929</v>
      </c>
      <c r="B5" s="20">
        <v>21.45</v>
      </c>
      <c r="C5" s="46">
        <f t="shared" si="0"/>
        <v>0.87944999999999995</v>
      </c>
      <c r="D5" s="23">
        <v>4.1000000000000002E-2</v>
      </c>
      <c r="E5" s="24">
        <v>3.3599999999999998E-2</v>
      </c>
      <c r="F5" s="23">
        <f t="shared" si="1"/>
        <v>4.2038041563204259E-2</v>
      </c>
      <c r="G5" s="47">
        <f>'[6]Moody''s Rates'!C22</f>
        <v>4.6699999999999998E-2</v>
      </c>
      <c r="H5" s="23">
        <f t="shared" si="1"/>
        <v>4.1391804160856499E-2</v>
      </c>
      <c r="I5" s="48">
        <f>'[6]Moody''s Rates'!K22</f>
        <v>5.9500000000000004E-2</v>
      </c>
      <c r="J5" s="49">
        <f t="shared" si="1"/>
        <v>3.0178562399040432E-2</v>
      </c>
      <c r="K5" s="50">
        <v>-2.0568074817057913E-2</v>
      </c>
      <c r="L5" s="51"/>
    </row>
    <row r="6" spans="1:13" ht="15.75">
      <c r="A6" s="20">
        <v>1930</v>
      </c>
      <c r="B6" s="20">
        <v>15.34</v>
      </c>
      <c r="C6" s="46">
        <f t="shared" si="0"/>
        <v>0.72097999999999995</v>
      </c>
      <c r="D6" s="23">
        <v>4.7E-2</v>
      </c>
      <c r="E6" s="24">
        <v>3.2199999999999999E-2</v>
      </c>
      <c r="F6" s="23">
        <f t="shared" si="1"/>
        <v>4.5409314348970366E-2</v>
      </c>
      <c r="G6" s="47">
        <f>'[6]Moody''s Rates'!C23</f>
        <v>4.5199999999999997E-2</v>
      </c>
      <c r="H6" s="23">
        <f t="shared" si="1"/>
        <v>5.8557414353302785E-2</v>
      </c>
      <c r="I6" s="48">
        <f>'[6]Moody''s Rates'!K23</f>
        <v>6.7099999999999993E-2</v>
      </c>
      <c r="J6" s="49">
        <f t="shared" si="1"/>
        <v>5.3978094648238287E-3</v>
      </c>
      <c r="K6" s="50">
        <v>-4.2999992762481454E-2</v>
      </c>
      <c r="L6" s="51"/>
    </row>
    <row r="7" spans="1:13" ht="15.75">
      <c r="A7" s="20">
        <v>1931</v>
      </c>
      <c r="B7" s="20">
        <v>8.1199999999999992</v>
      </c>
      <c r="C7" s="46">
        <f t="shared" si="0"/>
        <v>0.49531999999999993</v>
      </c>
      <c r="D7" s="23">
        <v>6.0999999999999999E-2</v>
      </c>
      <c r="E7" s="24">
        <v>3.9300000000000002E-2</v>
      </c>
      <c r="F7" s="23">
        <f t="shared" si="1"/>
        <v>-2.5588559619422531E-2</v>
      </c>
      <c r="G7" s="47">
        <f>'[6]Moody''s Rates'!C24</f>
        <v>5.3200000000000004E-2</v>
      </c>
      <c r="H7" s="23">
        <f t="shared" si="1"/>
        <v>-1.5625061412875695E-2</v>
      </c>
      <c r="I7" s="48">
        <f>'[6]Moody''s Rates'!K24</f>
        <v>0.1042</v>
      </c>
      <c r="J7" s="49">
        <f t="shared" si="1"/>
        <v>-0.15680775082667592</v>
      </c>
      <c r="K7" s="50">
        <v>-8.1504821861144605E-2</v>
      </c>
      <c r="L7" s="51"/>
    </row>
    <row r="8" spans="1:13" ht="15.75">
      <c r="A8" s="20">
        <v>1932</v>
      </c>
      <c r="B8" s="20">
        <v>6.92</v>
      </c>
      <c r="C8" s="46">
        <f t="shared" si="0"/>
        <v>0.49823999999999996</v>
      </c>
      <c r="D8" s="23">
        <v>7.1999999999999995E-2</v>
      </c>
      <c r="E8" s="24">
        <v>3.3500000000000002E-2</v>
      </c>
      <c r="F8" s="23">
        <f t="shared" si="1"/>
        <v>8.7903069904773257E-2</v>
      </c>
      <c r="G8" s="47">
        <f>'[6]Moody''s Rates'!C25</f>
        <v>4.5899999999999996E-2</v>
      </c>
      <c r="H8" s="23">
        <f t="shared" si="1"/>
        <v>0.11070808430446419</v>
      </c>
      <c r="I8" s="48">
        <f>'[6]Moody''s Rates'!K25</f>
        <v>8.4199999999999997E-2</v>
      </c>
      <c r="J8" s="49">
        <f t="shared" si="1"/>
        <v>0.23589601675740196</v>
      </c>
      <c r="K8" s="50">
        <v>-0.10466427716260551</v>
      </c>
      <c r="L8" s="51"/>
    </row>
    <row r="9" spans="1:13" ht="15.75">
      <c r="A9" s="20">
        <v>1933</v>
      </c>
      <c r="B9" s="20">
        <v>9.9700000000000006</v>
      </c>
      <c r="C9" s="46">
        <f t="shared" si="0"/>
        <v>0.40877000000000002</v>
      </c>
      <c r="D9" s="23">
        <v>4.1000000000000002E-2</v>
      </c>
      <c r="E9" s="24">
        <v>3.5299999999999998E-2</v>
      </c>
      <c r="F9" s="23">
        <f t="shared" si="1"/>
        <v>1.8552720891857361E-2</v>
      </c>
      <c r="G9" s="47">
        <f>'[6]Moody''s Rates'!C26</f>
        <v>4.4999999999999998E-2</v>
      </c>
      <c r="H9" s="23">
        <f t="shared" si="1"/>
        <v>5.3021446359399149E-2</v>
      </c>
      <c r="I9" s="48">
        <f>'[6]Moody''s Rates'!K26</f>
        <v>7.7499999999999999E-2</v>
      </c>
      <c r="J9" s="49">
        <f t="shared" si="1"/>
        <v>0.1296689369754826</v>
      </c>
      <c r="K9" s="50">
        <v>-3.8119480144119811E-2</v>
      </c>
      <c r="L9" s="51"/>
    </row>
    <row r="10" spans="1:13" ht="15.75">
      <c r="A10" s="20">
        <v>1934</v>
      </c>
      <c r="B10" s="20">
        <v>9.5</v>
      </c>
      <c r="C10" s="46">
        <f t="shared" si="0"/>
        <v>0.35149999999999998</v>
      </c>
      <c r="D10" s="23">
        <v>3.6999999999999998E-2</v>
      </c>
      <c r="E10" s="24">
        <v>3.0099999999999998E-2</v>
      </c>
      <c r="F10" s="23">
        <f t="shared" si="1"/>
        <v>7.9634426179656104E-2</v>
      </c>
      <c r="G10" s="47">
        <f>'[6]Moody''s Rates'!C27</f>
        <v>3.8100000000000002E-2</v>
      </c>
      <c r="H10" s="23">
        <f t="shared" si="1"/>
        <v>0.10149829894135538</v>
      </c>
      <c r="I10" s="48">
        <f>'[6]Moody''s Rates'!K27</f>
        <v>6.2300000000000001E-2</v>
      </c>
      <c r="J10" s="49">
        <f t="shared" si="1"/>
        <v>0.18816429268482648</v>
      </c>
      <c r="K10" s="50">
        <v>2.9062072752155554E-2</v>
      </c>
      <c r="L10" s="51"/>
    </row>
    <row r="11" spans="1:13" ht="15.75">
      <c r="A11" s="20">
        <v>1935</v>
      </c>
      <c r="B11" s="20">
        <v>13.43</v>
      </c>
      <c r="C11" s="46">
        <f t="shared" si="0"/>
        <v>0.51034000000000002</v>
      </c>
      <c r="D11" s="23">
        <v>3.7999999999999999E-2</v>
      </c>
      <c r="E11" s="24">
        <v>2.8400000000000002E-2</v>
      </c>
      <c r="F11" s="23">
        <f t="shared" si="1"/>
        <v>4.4720477296566127E-2</v>
      </c>
      <c r="G11" s="47">
        <f>'[6]Moody''s Rates'!C28</f>
        <v>3.44E-2</v>
      </c>
      <c r="H11" s="23">
        <f t="shared" si="1"/>
        <v>6.896470928924045E-2</v>
      </c>
      <c r="I11" s="48">
        <f>'[6]Moody''s Rates'!K28</f>
        <v>5.2999999999999999E-2</v>
      </c>
      <c r="J11" s="49">
        <f t="shared" si="1"/>
        <v>0.1330773186567917</v>
      </c>
      <c r="K11" s="50">
        <v>9.7658280630269045E-2</v>
      </c>
      <c r="L11" s="51"/>
    </row>
    <row r="12" spans="1:13" ht="15.75">
      <c r="A12" s="20">
        <v>1936</v>
      </c>
      <c r="B12" s="20">
        <v>17.18</v>
      </c>
      <c r="C12" s="46">
        <v>0.54</v>
      </c>
      <c r="D12" s="23">
        <f>C12/B12</f>
        <v>3.1431897555296857E-2</v>
      </c>
      <c r="E12" s="24">
        <v>2.5899999999999999E-2</v>
      </c>
      <c r="F12" s="23">
        <f t="shared" si="1"/>
        <v>5.0178754045450601E-2</v>
      </c>
      <c r="G12" s="47">
        <f>'[6]Moody''s Rates'!C29</f>
        <v>3.1E-2</v>
      </c>
      <c r="H12" s="23">
        <f t="shared" si="1"/>
        <v>6.3255237498925046E-2</v>
      </c>
      <c r="I12" s="48">
        <f>'[6]Moody''s Rates'!K29</f>
        <v>4.53E-2</v>
      </c>
      <c r="J12" s="49">
        <f t="shared" si="1"/>
        <v>0.11383815871922703</v>
      </c>
      <c r="K12" s="50">
        <v>3.218606694564885E-2</v>
      </c>
      <c r="L12" s="51"/>
    </row>
    <row r="13" spans="1:13" ht="15.75">
      <c r="A13" s="20">
        <v>1937</v>
      </c>
      <c r="B13" s="20">
        <v>10.55</v>
      </c>
      <c r="C13" s="46">
        <f t="shared" si="0"/>
        <v>0.55915000000000004</v>
      </c>
      <c r="D13" s="23">
        <v>5.2999999999999999E-2</v>
      </c>
      <c r="E13" s="24">
        <v>2.7300000000000001E-2</v>
      </c>
      <c r="F13" s="23">
        <f t="shared" si="1"/>
        <v>1.379146059646038E-2</v>
      </c>
      <c r="G13" s="47">
        <f>'[6]Moody''s Rates'!C30</f>
        <v>3.2099999999999997E-2</v>
      </c>
      <c r="H13" s="23">
        <f t="shared" si="1"/>
        <v>2.1716541759769864E-2</v>
      </c>
      <c r="I13" s="48">
        <f>'[6]Moody''s Rates'!K30</f>
        <v>5.7300000000000004E-2</v>
      </c>
      <c r="J13" s="49">
        <f t="shared" si="1"/>
        <v>-4.4161916839982614E-2</v>
      </c>
      <c r="K13" s="50">
        <v>2.563398183644594E-2</v>
      </c>
      <c r="L13" s="51"/>
    </row>
    <row r="14" spans="1:13" ht="15.75">
      <c r="A14" s="20">
        <v>1938</v>
      </c>
      <c r="B14" s="20">
        <v>13.14</v>
      </c>
      <c r="C14" s="46">
        <f t="shared" si="0"/>
        <v>0.49931999999999999</v>
      </c>
      <c r="D14" s="23">
        <v>3.7999999999999999E-2</v>
      </c>
      <c r="E14" s="24">
        <v>2.5600000000000001E-2</v>
      </c>
      <c r="F14" s="23">
        <f t="shared" si="1"/>
        <v>4.2132485322046068E-2</v>
      </c>
      <c r="G14" s="47">
        <f>'[6]Moody''s Rates'!C31</f>
        <v>3.0800000000000001E-2</v>
      </c>
      <c r="H14" s="23">
        <f t="shared" si="1"/>
        <v>4.3144126500957093E-2</v>
      </c>
      <c r="I14" s="48">
        <f>'[6]Moody''s Rates'!K31</f>
        <v>5.2699999999999997E-2</v>
      </c>
      <c r="J14" s="49">
        <f t="shared" si="1"/>
        <v>9.2358817136874202E-2</v>
      </c>
      <c r="K14" s="50">
        <v>-8.7369579068460324E-3</v>
      </c>
      <c r="L14" s="51"/>
    </row>
    <row r="15" spans="1:13" ht="15.75">
      <c r="A15" s="20">
        <v>1939</v>
      </c>
      <c r="B15" s="20">
        <v>12.46</v>
      </c>
      <c r="C15" s="46">
        <f t="shared" si="0"/>
        <v>0.53578000000000003</v>
      </c>
      <c r="D15" s="23">
        <v>4.2999999999999997E-2</v>
      </c>
      <c r="E15" s="24">
        <v>2.35E-2</v>
      </c>
      <c r="F15" s="23">
        <f t="shared" si="1"/>
        <v>4.4122613942060671E-2</v>
      </c>
      <c r="G15" s="47">
        <f>'[6]Moody''s Rates'!C32</f>
        <v>2.9399999999999999E-2</v>
      </c>
      <c r="H15" s="23">
        <f t="shared" si="1"/>
        <v>4.2778935128661218E-2</v>
      </c>
      <c r="I15" s="48">
        <f>'[6]Moody''s Rates'!K32</f>
        <v>4.9200000000000001E-2</v>
      </c>
      <c r="J15" s="49">
        <f t="shared" si="1"/>
        <v>7.9831377653461405E-2</v>
      </c>
      <c r="K15" s="50">
        <v>-1.3016038781753836E-2</v>
      </c>
      <c r="L15" s="51"/>
    </row>
    <row r="16" spans="1:13" ht="15.75">
      <c r="A16" s="20">
        <v>1940</v>
      </c>
      <c r="B16" s="20">
        <v>10.58</v>
      </c>
      <c r="C16" s="46">
        <f t="shared" si="0"/>
        <v>0.55015999999999998</v>
      </c>
      <c r="D16" s="23">
        <v>5.1999999999999998E-2</v>
      </c>
      <c r="E16" s="24">
        <v>2.01E-2</v>
      </c>
      <c r="F16" s="23">
        <f t="shared" si="1"/>
        <v>5.4024815962845509E-2</v>
      </c>
      <c r="G16" s="47">
        <f>'[6]Moody''s Rates'!C33</f>
        <v>2.7099999999999999E-2</v>
      </c>
      <c r="H16" s="23">
        <f t="shared" si="1"/>
        <v>4.931305690287914E-2</v>
      </c>
      <c r="I16" s="48">
        <f>'[6]Moody''s Rates'!K33</f>
        <v>4.4500000000000005E-2</v>
      </c>
      <c r="J16" s="49">
        <f t="shared" si="1"/>
        <v>8.6481371775829569E-2</v>
      </c>
      <c r="K16" s="50">
        <v>3.3066026593693287E-2</v>
      </c>
      <c r="L16" s="51"/>
    </row>
    <row r="17" spans="1:12" ht="15.75">
      <c r="A17" s="20">
        <v>1941</v>
      </c>
      <c r="B17" s="20">
        <v>8.69</v>
      </c>
      <c r="C17" s="46">
        <f t="shared" si="0"/>
        <v>0.53877999999999993</v>
      </c>
      <c r="D17" s="23">
        <v>6.2E-2</v>
      </c>
      <c r="E17" s="24">
        <v>2.47E-2</v>
      </c>
      <c r="F17" s="23">
        <f t="shared" si="1"/>
        <v>-2.0221975848580105E-2</v>
      </c>
      <c r="G17" s="47">
        <f>'[6]Moody''s Rates'!C34</f>
        <v>2.7999999999999997E-2</v>
      </c>
      <c r="H17" s="23">
        <f t="shared" si="1"/>
        <v>1.9343859466896082E-2</v>
      </c>
      <c r="I17" s="48">
        <f>'[6]Moody''s Rates'!K34</f>
        <v>4.3799999999999999E-2</v>
      </c>
      <c r="J17" s="49">
        <f t="shared" si="1"/>
        <v>5.0071728572759232E-2</v>
      </c>
      <c r="K17" s="50">
        <v>-8.3846170362722128E-2</v>
      </c>
      <c r="L17" s="51"/>
    </row>
    <row r="18" spans="1:12" ht="15.75">
      <c r="A18" s="20">
        <v>1942</v>
      </c>
      <c r="B18" s="20">
        <v>9.77</v>
      </c>
      <c r="C18" s="46">
        <f t="shared" si="0"/>
        <v>0.58619999999999994</v>
      </c>
      <c r="D18" s="23">
        <v>0.06</v>
      </c>
      <c r="E18" s="24">
        <v>2.4899999999999999E-2</v>
      </c>
      <c r="F18" s="23">
        <f t="shared" si="1"/>
        <v>2.2948682374484164E-2</v>
      </c>
      <c r="G18" s="47">
        <f>'[6]Moody''s Rates'!C35</f>
        <v>2.81E-2</v>
      </c>
      <c r="H18" s="23">
        <f t="shared" si="1"/>
        <v>2.7138648440788254E-2</v>
      </c>
      <c r="I18" s="48">
        <f>'[6]Moody''s Rates'!K35</f>
        <v>4.2800000000000005E-2</v>
      </c>
      <c r="J18" s="49">
        <f t="shared" si="1"/>
        <v>5.1799010426587015E-2</v>
      </c>
      <c r="K18" s="50">
        <v>3.3330352361186755E-2</v>
      </c>
      <c r="L18" s="51"/>
    </row>
    <row r="19" spans="1:12" ht="15.75">
      <c r="A19" s="20">
        <v>1943</v>
      </c>
      <c r="B19" s="20">
        <v>11.67</v>
      </c>
      <c r="C19" s="46">
        <f t="shared" si="0"/>
        <v>0.54849000000000003</v>
      </c>
      <c r="D19" s="23">
        <v>4.7E-2</v>
      </c>
      <c r="E19" s="24">
        <v>2.4899999999999999E-2</v>
      </c>
      <c r="F19" s="23">
        <f t="shared" si="1"/>
        <v>2.4899999999999999E-2</v>
      </c>
      <c r="G19" s="47">
        <f>'[6]Moody''s Rates'!C36</f>
        <v>2.7400000000000001E-2</v>
      </c>
      <c r="H19" s="23">
        <f t="shared" si="1"/>
        <v>3.4151160322936289E-2</v>
      </c>
      <c r="I19" s="48">
        <f>'[6]Moody''s Rates'!K36</f>
        <v>3.8199999999999998E-2</v>
      </c>
      <c r="J19" s="49">
        <f t="shared" si="1"/>
        <v>8.044670060105924E-2</v>
      </c>
      <c r="K19" s="50">
        <v>0.11446269728687652</v>
      </c>
      <c r="L19" s="51"/>
    </row>
    <row r="20" spans="1:12" ht="15.75">
      <c r="A20" s="20">
        <v>1944</v>
      </c>
      <c r="B20" s="20">
        <v>13.28</v>
      </c>
      <c r="C20" s="46">
        <f t="shared" si="0"/>
        <v>0.61087999999999998</v>
      </c>
      <c r="D20" s="23">
        <v>4.5999999999999999E-2</v>
      </c>
      <c r="E20" s="24">
        <v>2.4799999999999999E-2</v>
      </c>
      <c r="F20" s="23">
        <f t="shared" si="1"/>
        <v>2.5776111579070303E-2</v>
      </c>
      <c r="G20" s="47">
        <f>'[6]Moody''s Rates'!C37</f>
        <v>2.7000000000000003E-2</v>
      </c>
      <c r="H20" s="23">
        <f t="shared" si="1"/>
        <v>3.0864921189784809E-2</v>
      </c>
      <c r="I20" s="48">
        <f>'[6]Moody''s Rates'!K37</f>
        <v>3.49E-2</v>
      </c>
      <c r="J20" s="49">
        <f t="shared" si="1"/>
        <v>6.5658635882561697E-2</v>
      </c>
      <c r="K20" s="50">
        <v>0.16584229425872987</v>
      </c>
      <c r="L20" s="51"/>
    </row>
    <row r="21" spans="1:12" ht="15.75">
      <c r="A21" s="20">
        <v>1945</v>
      </c>
      <c r="B21" s="20">
        <v>17.36</v>
      </c>
      <c r="C21" s="46">
        <f t="shared" si="0"/>
        <v>0.67703999999999998</v>
      </c>
      <c r="D21" s="23">
        <v>3.9E-2</v>
      </c>
      <c r="E21" s="24">
        <v>2.3300000000000001E-2</v>
      </c>
      <c r="F21" s="23">
        <f t="shared" si="1"/>
        <v>3.8044173419237229E-2</v>
      </c>
      <c r="G21" s="47">
        <f>'[6]Moody''s Rates'!C38</f>
        <v>2.6099999999999998E-2</v>
      </c>
      <c r="H21" s="23">
        <f t="shared" si="1"/>
        <v>3.4832273065963905E-2</v>
      </c>
      <c r="I21" s="48">
        <f>'[6]Moody''s Rates'!K38</f>
        <v>3.1E-2</v>
      </c>
      <c r="J21" s="49">
        <f t="shared" si="1"/>
        <v>6.799865477817886E-2</v>
      </c>
      <c r="K21" s="50">
        <v>0.11777375604134543</v>
      </c>
      <c r="L21" s="51"/>
    </row>
    <row r="22" spans="1:12" ht="15.75">
      <c r="A22" s="20">
        <v>1946</v>
      </c>
      <c r="B22" s="20">
        <v>15.3</v>
      </c>
      <c r="C22" s="46">
        <f t="shared" si="0"/>
        <v>0.59670000000000001</v>
      </c>
      <c r="D22" s="23">
        <v>3.9E-2</v>
      </c>
      <c r="E22" s="24">
        <v>2.24E-2</v>
      </c>
      <c r="F22" s="23">
        <f t="shared" si="1"/>
        <v>3.1283745375695685E-2</v>
      </c>
      <c r="G22" s="47">
        <f>'[6]Moody''s Rates'!C39</f>
        <v>2.6099999999999998E-2</v>
      </c>
      <c r="H22" s="23">
        <f t="shared" si="1"/>
        <v>2.6099999999999998E-2</v>
      </c>
      <c r="I22" s="48">
        <f>'[6]Moody''s Rates'!K39</f>
        <v>3.1699999999999999E-2</v>
      </c>
      <c r="J22" s="49">
        <f t="shared" si="1"/>
        <v>2.5080329773195936E-2</v>
      </c>
      <c r="K22" s="50">
        <v>0.24101672397677776</v>
      </c>
      <c r="L22" s="51"/>
    </row>
    <row r="23" spans="1:12" ht="15.75">
      <c r="A23" s="20">
        <v>1947</v>
      </c>
      <c r="B23" s="20">
        <v>15.3</v>
      </c>
      <c r="C23" s="46">
        <f t="shared" si="0"/>
        <v>0.79559999999999997</v>
      </c>
      <c r="D23" s="23">
        <v>5.1999999999999998E-2</v>
      </c>
      <c r="E23" s="24">
        <v>2.3900000000000001E-2</v>
      </c>
      <c r="F23" s="23">
        <f t="shared" si="1"/>
        <v>9.1969680628322358E-3</v>
      </c>
      <c r="G23" s="47">
        <f>'[6]Moody''s Rates'!C40</f>
        <v>2.86E-2</v>
      </c>
      <c r="H23" s="23">
        <f t="shared" si="1"/>
        <v>4.6213141975309652E-3</v>
      </c>
      <c r="I23" s="48">
        <f>'[6]Moody''s Rates'!K40</f>
        <v>3.5200000000000002E-2</v>
      </c>
      <c r="J23" s="49">
        <f t="shared" si="1"/>
        <v>2.6212022665691934E-3</v>
      </c>
      <c r="K23" s="50">
        <v>0.21263835362429684</v>
      </c>
      <c r="L23" s="51"/>
    </row>
    <row r="24" spans="1:12" ht="15.75">
      <c r="A24" s="20">
        <v>1948</v>
      </c>
      <c r="B24" s="20">
        <v>15.2</v>
      </c>
      <c r="C24" s="46">
        <f t="shared" si="0"/>
        <v>0.9728</v>
      </c>
      <c r="D24" s="23">
        <v>6.4000000000000001E-2</v>
      </c>
      <c r="E24" s="24">
        <v>2.4400000000000002E-2</v>
      </c>
      <c r="F24" s="23">
        <f t="shared" si="1"/>
        <v>1.9510369413175046E-2</v>
      </c>
      <c r="G24" s="47">
        <f>'[6]Moody''s Rates'!C41</f>
        <v>2.7900000000000001E-2</v>
      </c>
      <c r="H24" s="23">
        <f t="shared" si="1"/>
        <v>3.4635648938441663E-2</v>
      </c>
      <c r="I24" s="48">
        <f>'[6]Moody''s Rates'!K41</f>
        <v>3.5299999999999998E-2</v>
      </c>
      <c r="J24" s="49">
        <f t="shared" si="1"/>
        <v>3.4369595605103213E-2</v>
      </c>
      <c r="K24" s="50">
        <v>2.058542944115116E-2</v>
      </c>
      <c r="L24" s="51"/>
    </row>
    <row r="25" spans="1:12" ht="15.75">
      <c r="A25" s="20">
        <v>1949</v>
      </c>
      <c r="B25" s="20">
        <v>16.79</v>
      </c>
      <c r="C25" s="46">
        <f t="shared" si="0"/>
        <v>1.1920899999999999</v>
      </c>
      <c r="D25" s="23">
        <v>7.0999999999999994E-2</v>
      </c>
      <c r="E25" s="24">
        <v>2.1899999999999999E-2</v>
      </c>
      <c r="F25" s="23">
        <f t="shared" si="1"/>
        <v>4.6634851827973139E-2</v>
      </c>
      <c r="G25" s="47">
        <f>'[6]Moody''s Rates'!C42</f>
        <v>2.58E-2</v>
      </c>
      <c r="H25" s="23">
        <f t="shared" si="1"/>
        <v>4.6203589000967292E-2</v>
      </c>
      <c r="I25" s="48">
        <f>'[6]Moody''s Rates'!K42</f>
        <v>3.3099999999999997E-2</v>
      </c>
      <c r="J25" s="49">
        <f t="shared" si="1"/>
        <v>5.3773011179658936E-2</v>
      </c>
      <c r="K25" s="50">
        <v>8.9371881572453127E-4</v>
      </c>
      <c r="L25" s="51"/>
    </row>
    <row r="26" spans="1:12" ht="15.75">
      <c r="A26" s="20">
        <v>1950</v>
      </c>
      <c r="B26" s="20">
        <v>20.43</v>
      </c>
      <c r="C26" s="46">
        <f t="shared" si="0"/>
        <v>1.5322499999999999</v>
      </c>
      <c r="D26" s="23">
        <v>7.4999999999999997E-2</v>
      </c>
      <c r="E26" s="24">
        <v>2.3900000000000001E-2</v>
      </c>
      <c r="F26" s="23">
        <f t="shared" si="1"/>
        <v>4.2959574171096103E-3</v>
      </c>
      <c r="G26" s="47">
        <f>'[6]Moody''s Rates'!C43</f>
        <v>2.6699999999999998E-2</v>
      </c>
      <c r="H26" s="23">
        <f t="shared" si="1"/>
        <v>1.7991888160641522E-2</v>
      </c>
      <c r="I26" s="48">
        <f>'[6]Moody''s Rates'!K43</f>
        <v>3.2000000000000001E-2</v>
      </c>
      <c r="J26" s="49">
        <f t="shared" si="1"/>
        <v>4.2388173056720914E-2</v>
      </c>
      <c r="K26" s="50">
        <v>3.6403899622157176E-2</v>
      </c>
      <c r="L26" s="51"/>
    </row>
    <row r="27" spans="1:12" ht="15.75">
      <c r="A27" s="20">
        <v>1951</v>
      </c>
      <c r="B27" s="20">
        <v>23.77</v>
      </c>
      <c r="C27" s="46">
        <f t="shared" si="0"/>
        <v>1.4975099999999999</v>
      </c>
      <c r="D27" s="23">
        <v>6.3E-2</v>
      </c>
      <c r="E27" s="24">
        <v>2.7E-2</v>
      </c>
      <c r="F27" s="23">
        <f t="shared" si="1"/>
        <v>-2.9531392208319886E-3</v>
      </c>
      <c r="G27" s="47">
        <f>'[6]Moody''s Rates'!C44</f>
        <v>3.0099999999999998E-2</v>
      </c>
      <c r="H27" s="23">
        <f t="shared" si="1"/>
        <v>-2.2878940405443617E-3</v>
      </c>
      <c r="I27" s="48">
        <f>'[6]Moody''s Rates'!K44</f>
        <v>3.61E-2</v>
      </c>
      <c r="J27" s="49">
        <f t="shared" si="1"/>
        <v>-1.9098091301369691E-3</v>
      </c>
      <c r="K27" s="50">
        <v>6.0476642095388611E-2</v>
      </c>
      <c r="L27" s="51"/>
    </row>
    <row r="28" spans="1:12" ht="15.75">
      <c r="A28" s="20">
        <v>1952</v>
      </c>
      <c r="B28" s="20">
        <v>26.57</v>
      </c>
      <c r="C28" s="46">
        <f t="shared" si="0"/>
        <v>1.5144900000000001</v>
      </c>
      <c r="D28" s="23">
        <v>5.7000000000000002E-2</v>
      </c>
      <c r="E28" s="24">
        <v>2.75E-2</v>
      </c>
      <c r="F28" s="23">
        <f t="shared" si="1"/>
        <v>2.2679961918305656E-2</v>
      </c>
      <c r="G28" s="47">
        <f>'[6]Moody''s Rates'!C45</f>
        <v>2.9700000000000001E-2</v>
      </c>
      <c r="H28" s="23">
        <f t="shared" si="1"/>
        <v>3.3517311049082718E-2</v>
      </c>
      <c r="I28" s="48">
        <f>'[6]Moody''s Rates'!K45</f>
        <v>3.5099999999999999E-2</v>
      </c>
      <c r="J28" s="49">
        <f t="shared" si="1"/>
        <v>4.4412415047400768E-2</v>
      </c>
      <c r="K28" s="50">
        <v>4.4066304183902893E-2</v>
      </c>
      <c r="L28" s="51"/>
    </row>
    <row r="29" spans="1:12" ht="15.75">
      <c r="A29" s="20">
        <v>1953</v>
      </c>
      <c r="B29" s="20">
        <v>24.81</v>
      </c>
      <c r="C29" s="46">
        <f t="shared" si="0"/>
        <v>1.4389799999999999</v>
      </c>
      <c r="D29" s="23">
        <v>5.8000000000000003E-2</v>
      </c>
      <c r="E29" s="24">
        <v>2.5899999999999999E-2</v>
      </c>
      <c r="F29" s="23">
        <f t="shared" si="1"/>
        <v>4.1438402589088513E-2</v>
      </c>
      <c r="G29" s="47">
        <f>'[6]Moody''s Rates'!C46</f>
        <v>3.1300000000000001E-2</v>
      </c>
      <c r="H29" s="23">
        <f t="shared" si="1"/>
        <v>1.6141779106714601E-2</v>
      </c>
      <c r="I29" s="48">
        <f>'[6]Moody''s Rates'!K46</f>
        <v>3.7400000000000003E-2</v>
      </c>
      <c r="J29" s="49">
        <f t="shared" si="1"/>
        <v>1.6201123818443276E-2</v>
      </c>
      <c r="K29" s="50">
        <v>0.11516624666555342</v>
      </c>
      <c r="L29" s="51"/>
    </row>
    <row r="30" spans="1:12" ht="15.75">
      <c r="A30" s="20">
        <v>1954</v>
      </c>
      <c r="B30" s="20">
        <v>35.979999999999997</v>
      </c>
      <c r="C30" s="46">
        <f t="shared" si="0"/>
        <v>1.8709599999999997</v>
      </c>
      <c r="D30" s="23">
        <v>5.1999999999999998E-2</v>
      </c>
      <c r="E30" s="24">
        <v>2.5100000000000001E-2</v>
      </c>
      <c r="F30" s="23">
        <f t="shared" si="1"/>
        <v>3.2898034558095555E-2</v>
      </c>
      <c r="G30" s="47">
        <f>'[6]Moody''s Rates'!C47</f>
        <v>2.8999999999999998E-2</v>
      </c>
      <c r="H30" s="23">
        <f t="shared" si="1"/>
        <v>5.1019973661012748E-2</v>
      </c>
      <c r="I30" s="48">
        <f>'[6]Moody''s Rates'!K47</f>
        <v>3.4500000000000003E-2</v>
      </c>
      <c r="J30" s="49">
        <f t="shared" si="1"/>
        <v>6.1579051817707856E-2</v>
      </c>
      <c r="K30" s="50">
        <v>9.2270580517745948E-3</v>
      </c>
      <c r="L30" s="51"/>
    </row>
    <row r="31" spans="1:12" ht="15.75">
      <c r="A31" s="20">
        <v>1955</v>
      </c>
      <c r="B31" s="20">
        <v>45.48</v>
      </c>
      <c r="C31" s="46">
        <f t="shared" si="0"/>
        <v>2.2285200000000001</v>
      </c>
      <c r="D31" s="23">
        <v>4.9000000000000002E-2</v>
      </c>
      <c r="E31" s="24">
        <v>2.9600000000000001E-2</v>
      </c>
      <c r="F31" s="23">
        <f t="shared" si="1"/>
        <v>-1.3364391288618781E-2</v>
      </c>
      <c r="G31" s="47">
        <f>'[6]Moody''s Rates'!C48</f>
        <v>3.15E-2</v>
      </c>
      <c r="H31" s="23">
        <f t="shared" si="1"/>
        <v>7.8368165305447712E-3</v>
      </c>
      <c r="I31" s="48">
        <f>'[6]Moody''s Rates'!K48</f>
        <v>3.6200000000000003E-2</v>
      </c>
      <c r="J31" s="49">
        <f t="shared" si="1"/>
        <v>2.044690004344954E-2</v>
      </c>
      <c r="K31" s="50">
        <v>0</v>
      </c>
      <c r="L31" s="51"/>
    </row>
    <row r="32" spans="1:12" ht="15.75">
      <c r="A32" s="20">
        <v>1956</v>
      </c>
      <c r="B32" s="20">
        <v>46.67</v>
      </c>
      <c r="C32" s="46">
        <f t="shared" si="0"/>
        <v>2.1934900000000002</v>
      </c>
      <c r="D32" s="23">
        <v>4.7E-2</v>
      </c>
      <c r="E32" s="24">
        <v>3.5900000000000001E-2</v>
      </c>
      <c r="F32" s="23">
        <f t="shared" si="1"/>
        <v>-2.2557738173154165E-2</v>
      </c>
      <c r="G32" s="47">
        <f>'[6]Moody''s Rates'!C49</f>
        <v>3.7499999999999999E-2</v>
      </c>
      <c r="H32" s="23">
        <f t="shared" si="1"/>
        <v>-1.7776723510078835E-2</v>
      </c>
      <c r="I32" s="48">
        <f>'[6]Moody''s Rates'!K49</f>
        <v>4.3700000000000003E-2</v>
      </c>
      <c r="J32" s="49">
        <f t="shared" si="1"/>
        <v>-2.3526541979620903E-2</v>
      </c>
      <c r="K32" s="50">
        <v>9.1426978479813847E-3</v>
      </c>
      <c r="L32" s="51"/>
    </row>
    <row r="33" spans="1:12" ht="15.75">
      <c r="A33" s="20">
        <v>1957</v>
      </c>
      <c r="B33" s="20">
        <v>39.99</v>
      </c>
      <c r="C33" s="46">
        <f t="shared" si="0"/>
        <v>1.79955</v>
      </c>
      <c r="D33" s="23">
        <v>4.4999999999999998E-2</v>
      </c>
      <c r="E33" s="24">
        <v>3.2099999999999997E-2</v>
      </c>
      <c r="F33" s="23">
        <f t="shared" si="1"/>
        <v>6.7970128466249904E-2</v>
      </c>
      <c r="G33" s="47">
        <f>'[6]Moody''s Rates'!C50</f>
        <v>3.8100000000000002E-2</v>
      </c>
      <c r="H33" s="23">
        <f t="shared" si="1"/>
        <v>3.2587104439882129E-2</v>
      </c>
      <c r="I33" s="48">
        <f>'[6]Moody''s Rates'!K50</f>
        <v>5.0300000000000004E-2</v>
      </c>
      <c r="J33" s="49">
        <f t="shared" si="1"/>
        <v>-7.1892844025423647E-3</v>
      </c>
      <c r="K33" s="50">
        <v>2.7180282449021931E-2</v>
      </c>
      <c r="L33" s="51"/>
    </row>
    <row r="34" spans="1:12" ht="15.75">
      <c r="A34" s="20">
        <v>1958</v>
      </c>
      <c r="B34" s="20">
        <v>55.21</v>
      </c>
      <c r="C34" s="46">
        <f t="shared" si="0"/>
        <v>2.2636100000000003</v>
      </c>
      <c r="D34" s="23">
        <v>4.1000000000000002E-2</v>
      </c>
      <c r="E34" s="24">
        <v>3.8600000000000002E-2</v>
      </c>
      <c r="F34" s="23">
        <f t="shared" si="1"/>
        <v>-2.0990181755274694E-2</v>
      </c>
      <c r="G34" s="47">
        <f>'[6]Moody''s Rates'!C51</f>
        <v>4.0800000000000003E-2</v>
      </c>
      <c r="H34" s="23">
        <f t="shared" si="1"/>
        <v>1.6287536451366026E-2</v>
      </c>
      <c r="I34" s="48">
        <f>'[6]Moody''s Rates'!K51</f>
        <v>4.8499999999999995E-2</v>
      </c>
      <c r="J34" s="49">
        <f t="shared" si="1"/>
        <v>6.4300928973360261E-2</v>
      </c>
      <c r="K34" s="50">
        <v>6.6154322364195828E-3</v>
      </c>
      <c r="L34" s="51"/>
    </row>
    <row r="35" spans="1:12" ht="15.75">
      <c r="A35" s="20">
        <v>1959</v>
      </c>
      <c r="B35" s="20">
        <v>59.89</v>
      </c>
      <c r="C35" s="46">
        <f t="shared" si="0"/>
        <v>1.9763700000000002</v>
      </c>
      <c r="D35" s="23">
        <v>3.3000000000000002E-2</v>
      </c>
      <c r="E35" s="24">
        <v>4.6899999999999997E-2</v>
      </c>
      <c r="F35" s="23">
        <f t="shared" si="1"/>
        <v>-2.6466312591385065E-2</v>
      </c>
      <c r="G35" s="47">
        <f>'[6]Moody''s Rates'!C52</f>
        <v>4.58E-2</v>
      </c>
      <c r="H35" s="23">
        <f t="shared" si="1"/>
        <v>1.3915704024072828E-3</v>
      </c>
      <c r="I35" s="48">
        <f>'[6]Moody''s Rates'!K52</f>
        <v>5.28E-2</v>
      </c>
      <c r="J35" s="49">
        <f t="shared" si="1"/>
        <v>1.5743430895022732E-2</v>
      </c>
      <c r="K35" s="50">
        <v>1.0951055527008702E-3</v>
      </c>
      <c r="L35" s="51"/>
    </row>
    <row r="36" spans="1:12" ht="15.75">
      <c r="A36" s="20">
        <v>1960</v>
      </c>
      <c r="B36" s="20">
        <v>58.11</v>
      </c>
      <c r="C36" s="46">
        <v>1.9815510000000001</v>
      </c>
      <c r="D36" s="23">
        <f t="shared" ref="D36:D96" si="2">C36/B36</f>
        <v>3.4099999999999998E-2</v>
      </c>
      <c r="E36" s="24">
        <v>3.8399999999999997E-2</v>
      </c>
      <c r="F36" s="23">
        <f t="shared" si="1"/>
        <v>0.11639503690963365</v>
      </c>
      <c r="G36" s="47">
        <f>'[6]Moody''s Rates'!C53</f>
        <v>4.3499999999999997E-2</v>
      </c>
      <c r="H36" s="23">
        <f t="shared" si="1"/>
        <v>6.4134222381996453E-2</v>
      </c>
      <c r="I36" s="48">
        <f>'[6]Moody''s Rates'!K53</f>
        <v>5.0999999999999997E-2</v>
      </c>
      <c r="J36" s="49">
        <f t="shared" si="1"/>
        <v>6.6631871633034342E-2</v>
      </c>
      <c r="K36" s="50">
        <v>7.6586744032887122E-3</v>
      </c>
      <c r="L36" s="51"/>
    </row>
    <row r="37" spans="1:12" ht="15.75">
      <c r="A37" s="20">
        <v>1961</v>
      </c>
      <c r="B37" s="20">
        <v>71.55</v>
      </c>
      <c r="C37" s="46">
        <v>2.0391750000000002</v>
      </c>
      <c r="D37" s="23">
        <f t="shared" si="2"/>
        <v>2.8500000000000004E-2</v>
      </c>
      <c r="E37" s="24">
        <v>4.0599999999999997E-2</v>
      </c>
      <c r="F37" s="23">
        <f t="shared" si="1"/>
        <v>2.0609208076323167E-2</v>
      </c>
      <c r="G37" s="47">
        <f>'[6]Moody''s Rates'!C54</f>
        <v>4.4199999999999996E-2</v>
      </c>
      <c r="H37" s="23">
        <f t="shared" si="1"/>
        <v>3.7939245798155677E-2</v>
      </c>
      <c r="I37" s="48">
        <f>'[6]Moody''s Rates'!K54</f>
        <v>5.0999999999999997E-2</v>
      </c>
      <c r="J37" s="49">
        <f t="shared" si="1"/>
        <v>5.0999999999999997E-2</v>
      </c>
      <c r="K37" s="50">
        <v>9.7716517211834386E-3</v>
      </c>
      <c r="L37" s="51"/>
    </row>
    <row r="38" spans="1:12" ht="15.75">
      <c r="A38" s="20">
        <v>1962</v>
      </c>
      <c r="B38" s="20">
        <v>63.1</v>
      </c>
      <c r="C38" s="46">
        <v>2.1454</v>
      </c>
      <c r="D38" s="23">
        <f t="shared" si="2"/>
        <v>3.3999999999999996E-2</v>
      </c>
      <c r="E38" s="24">
        <v>3.8600000000000002E-2</v>
      </c>
      <c r="F38" s="23">
        <f t="shared" si="1"/>
        <v>5.693544054008462E-2</v>
      </c>
      <c r="G38" s="47">
        <f>'[6]Moody''s Rates'!C55</f>
        <v>4.24E-2</v>
      </c>
      <c r="H38" s="23">
        <f t="shared" si="1"/>
        <v>5.8626733145309841E-2</v>
      </c>
      <c r="I38" s="48">
        <f>'[6]Moody''s Rates'!K55</f>
        <v>4.9200000000000001E-2</v>
      </c>
      <c r="J38" s="49">
        <f t="shared" si="1"/>
        <v>6.4953279936065755E-2</v>
      </c>
      <c r="K38" s="50">
        <v>3.2259132567571402E-3</v>
      </c>
      <c r="L38" s="51"/>
    </row>
    <row r="39" spans="1:12" ht="15.75">
      <c r="A39" s="20">
        <v>1963</v>
      </c>
      <c r="B39" s="20">
        <v>75.02</v>
      </c>
      <c r="C39" s="46">
        <v>2.3481260000000002</v>
      </c>
      <c r="D39" s="23">
        <f t="shared" si="2"/>
        <v>3.1300000000000001E-2</v>
      </c>
      <c r="E39" s="24">
        <v>4.1300000000000003E-2</v>
      </c>
      <c r="F39" s="23">
        <f>((E38*(1-(1+E39)^(-10))/E39+1/(1+E39)^10)-1)+E38</f>
        <v>1.6841620739546127E-2</v>
      </c>
      <c r="G39" s="47">
        <f>'[6]Moody''s Rates'!C56</f>
        <v>4.3499999999999997E-2</v>
      </c>
      <c r="H39" s="23">
        <f t="shared" ref="H39:J96" si="3">((G38*(1-(1+G39)^(-10))/G39+1/(1+G39)^10)-1)+G38</f>
        <v>3.3631458860784454E-2</v>
      </c>
      <c r="I39" s="48">
        <f>'[6]Moody''s Rates'!K56</f>
        <v>4.8499999999999995E-2</v>
      </c>
      <c r="J39" s="49">
        <f t="shared" si="3"/>
        <v>5.4644805711862345E-2</v>
      </c>
      <c r="K39" s="50">
        <v>2.1436503273133845E-2</v>
      </c>
      <c r="L39" s="51"/>
    </row>
    <row r="40" spans="1:12" ht="15.75">
      <c r="A40" s="20">
        <v>1964</v>
      </c>
      <c r="B40" s="20">
        <v>84.75</v>
      </c>
      <c r="C40" s="46">
        <v>2.5848749999999998</v>
      </c>
      <c r="D40" s="23">
        <f t="shared" si="2"/>
        <v>3.0499999999999999E-2</v>
      </c>
      <c r="E40" s="24">
        <v>4.1799999999999997E-2</v>
      </c>
      <c r="F40" s="23">
        <f t="shared" ref="F40:F89" si="4">((E39*(1-(1+E40)^(-10))/E40+1/(1+E40)^10)-1)+E39</f>
        <v>3.7280648911540815E-2</v>
      </c>
      <c r="G40" s="47">
        <f>'[6]Moody''s Rates'!C57</f>
        <v>4.4400000000000002E-2</v>
      </c>
      <c r="H40" s="23">
        <f t="shared" si="3"/>
        <v>3.6357498175775174E-2</v>
      </c>
      <c r="I40" s="48">
        <f>'[6]Moody''s Rates'!K57</f>
        <v>4.8099999999999997E-2</v>
      </c>
      <c r="J40" s="49">
        <f t="shared" si="3"/>
        <v>5.1617392722850271E-2</v>
      </c>
      <c r="K40" s="50">
        <v>1.2591593946911894E-2</v>
      </c>
      <c r="L40" s="51"/>
    </row>
    <row r="41" spans="1:12" ht="15.75">
      <c r="A41" s="20">
        <v>1965</v>
      </c>
      <c r="B41" s="20">
        <v>92.43</v>
      </c>
      <c r="C41" s="46">
        <v>2.8283580000000001</v>
      </c>
      <c r="D41" s="23">
        <f t="shared" si="2"/>
        <v>3.0599999999999999E-2</v>
      </c>
      <c r="E41" s="24">
        <v>4.6199999999999998E-2</v>
      </c>
      <c r="F41" s="23">
        <f t="shared" si="4"/>
        <v>7.1885509359262342E-3</v>
      </c>
      <c r="G41" s="47">
        <f>'[6]Moody''s Rates'!C58</f>
        <v>4.6799999999999994E-2</v>
      </c>
      <c r="H41" s="23">
        <f t="shared" si="3"/>
        <v>2.5576433994000343E-2</v>
      </c>
      <c r="I41" s="48">
        <f>'[6]Moody''s Rates'!K58</f>
        <v>5.0199999999999995E-2</v>
      </c>
      <c r="J41" s="49">
        <f t="shared" si="3"/>
        <v>3.1900094622538809E-2</v>
      </c>
      <c r="K41" s="50">
        <v>1.658002301182071E-2</v>
      </c>
      <c r="L41" s="51"/>
    </row>
    <row r="42" spans="1:12" ht="15.75">
      <c r="A42" s="20">
        <v>1966</v>
      </c>
      <c r="B42" s="20">
        <v>80.33</v>
      </c>
      <c r="C42" s="46">
        <v>2.8838469999999998</v>
      </c>
      <c r="D42" s="23">
        <f t="shared" si="2"/>
        <v>3.5900000000000001E-2</v>
      </c>
      <c r="E42" s="24">
        <v>4.8399999999999999E-2</v>
      </c>
      <c r="F42" s="23">
        <f t="shared" si="4"/>
        <v>2.9079409324299622E-2</v>
      </c>
      <c r="G42" s="47">
        <f>'[6]Moody''s Rates'!C59</f>
        <v>5.3899999999999997E-2</v>
      </c>
      <c r="H42" s="23">
        <f t="shared" si="3"/>
        <v>-7.0006457686958151E-3</v>
      </c>
      <c r="I42" s="48">
        <f>'[6]Moody''s Rates'!K59</f>
        <v>6.1799999999999994E-2</v>
      </c>
      <c r="J42" s="49">
        <f t="shared" si="3"/>
        <v>-3.4453615975776369E-2</v>
      </c>
      <c r="K42" s="50">
        <v>1.2232822442514779E-2</v>
      </c>
      <c r="L42" s="51"/>
    </row>
    <row r="43" spans="1:12" ht="15.75">
      <c r="A43" s="20">
        <v>1967</v>
      </c>
      <c r="B43" s="20">
        <v>96.47</v>
      </c>
      <c r="C43" s="46">
        <v>2.9809230000000002</v>
      </c>
      <c r="D43" s="23">
        <f t="shared" si="2"/>
        <v>3.0900000000000004E-2</v>
      </c>
      <c r="E43" s="24">
        <v>5.7000000000000002E-2</v>
      </c>
      <c r="F43" s="23">
        <f t="shared" si="4"/>
        <v>-1.5806209932824666E-2</v>
      </c>
      <c r="G43" s="47">
        <f>'[6]Moody''s Rates'!C60</f>
        <v>6.1900000000000004E-2</v>
      </c>
      <c r="H43" s="23">
        <f t="shared" si="3"/>
        <v>-4.4542767260931718E-3</v>
      </c>
      <c r="I43" s="48">
        <f>'[6]Moody''s Rates'!K60</f>
        <v>6.93E-2</v>
      </c>
      <c r="J43" s="49">
        <f t="shared" si="3"/>
        <v>8.9522661484468247E-3</v>
      </c>
      <c r="K43" s="50">
        <v>2.3161882062522565E-2</v>
      </c>
      <c r="L43" s="51"/>
    </row>
    <row r="44" spans="1:12" ht="15.75">
      <c r="A44" s="20">
        <v>1968</v>
      </c>
      <c r="B44" s="20">
        <v>103.86</v>
      </c>
      <c r="C44" s="46">
        <v>3.0430980000000001</v>
      </c>
      <c r="D44" s="23">
        <f t="shared" si="2"/>
        <v>2.93E-2</v>
      </c>
      <c r="E44" s="24">
        <v>6.0299999999999999E-2</v>
      </c>
      <c r="F44" s="23">
        <f t="shared" si="4"/>
        <v>3.2746196950768365E-2</v>
      </c>
      <c r="G44" s="47">
        <f>'[6]Moody''s Rates'!C61</f>
        <v>6.4500000000000002E-2</v>
      </c>
      <c r="H44" s="23">
        <f t="shared" si="3"/>
        <v>4.3165229057601943E-2</v>
      </c>
      <c r="I44" s="48">
        <f>'[6]Moody''s Rates'!K61</f>
        <v>7.2300000000000003E-2</v>
      </c>
      <c r="J44" s="49">
        <f t="shared" si="3"/>
        <v>4.845146224309746E-2</v>
      </c>
      <c r="K44" s="50">
        <v>4.1338761655570933E-2</v>
      </c>
      <c r="L44" s="51"/>
    </row>
    <row r="45" spans="1:12" ht="15.75">
      <c r="A45" s="20">
        <v>1969</v>
      </c>
      <c r="B45" s="20">
        <v>92.06</v>
      </c>
      <c r="C45" s="46">
        <v>3.2405119999999998</v>
      </c>
      <c r="D45" s="23">
        <f t="shared" si="2"/>
        <v>3.5199999999999995E-2</v>
      </c>
      <c r="E45" s="24">
        <v>7.6499999999999999E-2</v>
      </c>
      <c r="F45" s="23">
        <f t="shared" si="4"/>
        <v>-5.0140493209926106E-2</v>
      </c>
      <c r="G45" s="47">
        <f>'[6]Moody''s Rates'!C62</f>
        <v>7.7199999999999991E-2</v>
      </c>
      <c r="H45" s="23">
        <f t="shared" si="3"/>
        <v>-2.1804851328215524E-2</v>
      </c>
      <c r="I45" s="48">
        <f>'[6]Moody''s Rates'!K62</f>
        <v>8.6500000000000007E-2</v>
      </c>
      <c r="J45" s="49">
        <f t="shared" si="3"/>
        <v>-2.0251642507921469E-2</v>
      </c>
      <c r="K45" s="50">
        <v>6.9943498504573487E-2</v>
      </c>
      <c r="L45" s="51"/>
    </row>
    <row r="46" spans="1:12" ht="15.75">
      <c r="A46" s="20">
        <v>1970</v>
      </c>
      <c r="B46" s="20">
        <v>92.15</v>
      </c>
      <c r="C46" s="46">
        <v>3.1883900000000001</v>
      </c>
      <c r="D46" s="23">
        <f t="shared" si="2"/>
        <v>3.4599999999999999E-2</v>
      </c>
      <c r="E46" s="24">
        <v>6.3899999999999998E-2</v>
      </c>
      <c r="F46" s="23">
        <f t="shared" si="4"/>
        <v>0.16754737183412338</v>
      </c>
      <c r="G46" s="47">
        <f>'[6]Moody''s Rates'!C63</f>
        <v>7.6399999999999996E-2</v>
      </c>
      <c r="H46" s="23">
        <f t="shared" si="3"/>
        <v>8.2656333516766323E-2</v>
      </c>
      <c r="I46" s="48">
        <f>'[6]Moody''s Rates'!K63</f>
        <v>9.1199999999999989E-2</v>
      </c>
      <c r="J46" s="49">
        <f t="shared" si="3"/>
        <v>5.6495676569888728E-2</v>
      </c>
      <c r="K46" s="50">
        <v>8.2154964403586828E-2</v>
      </c>
      <c r="L46" s="51"/>
    </row>
    <row r="47" spans="1:12" ht="15.75">
      <c r="A47" s="20">
        <v>1971</v>
      </c>
      <c r="B47" s="20">
        <v>102.09</v>
      </c>
      <c r="C47" s="46">
        <v>3.16479</v>
      </c>
      <c r="D47" s="23">
        <f t="shared" si="2"/>
        <v>3.1E-2</v>
      </c>
      <c r="E47" s="24">
        <v>5.9299999999999999E-2</v>
      </c>
      <c r="F47" s="23">
        <f t="shared" si="4"/>
        <v>9.7868966197122972E-2</v>
      </c>
      <c r="G47" s="47">
        <f>'[6]Moody''s Rates'!C64</f>
        <v>7.2499999999999995E-2</v>
      </c>
      <c r="H47" s="23">
        <f t="shared" si="3"/>
        <v>0.10347820104742242</v>
      </c>
      <c r="I47" s="48">
        <f>'[6]Moody''s Rates'!K64</f>
        <v>8.3800000000000013E-2</v>
      </c>
      <c r="J47" s="49">
        <f t="shared" si="3"/>
        <v>0.1400146617421994</v>
      </c>
      <c r="K47" s="50">
        <v>4.2449238297220138E-2</v>
      </c>
      <c r="L47" s="51"/>
    </row>
    <row r="48" spans="1:12" ht="15.75">
      <c r="A48" s="20">
        <v>1972</v>
      </c>
      <c r="B48" s="20">
        <v>118.05</v>
      </c>
      <c r="C48" s="46">
        <v>3.1873499999999999</v>
      </c>
      <c r="D48" s="23">
        <f t="shared" si="2"/>
        <v>2.7E-2</v>
      </c>
      <c r="E48" s="24">
        <v>6.3600000000000004E-2</v>
      </c>
      <c r="F48" s="23">
        <f t="shared" si="4"/>
        <v>2.818449050444969E-2</v>
      </c>
      <c r="G48" s="47">
        <f>'[6]Moody''s Rates'!C65</f>
        <v>7.0800000000000002E-2</v>
      </c>
      <c r="H48" s="23">
        <f t="shared" si="3"/>
        <v>8.4396058968845042E-2</v>
      </c>
      <c r="I48" s="48">
        <f>'[6]Moody''s Rates'!K65</f>
        <v>7.9299999999999995E-2</v>
      </c>
      <c r="J48" s="49">
        <f t="shared" si="3"/>
        <v>0.11409093579389698</v>
      </c>
      <c r="K48" s="50">
        <v>2.9757435694738765E-2</v>
      </c>
      <c r="L48" s="51"/>
    </row>
    <row r="49" spans="1:12" ht="15.75">
      <c r="A49" s="20">
        <v>1973</v>
      </c>
      <c r="B49" s="20">
        <v>97.55</v>
      </c>
      <c r="C49" s="46">
        <v>3.6093500000000001</v>
      </c>
      <c r="D49" s="23">
        <f t="shared" si="2"/>
        <v>3.7000000000000005E-2</v>
      </c>
      <c r="E49" s="24">
        <v>6.7400000000000002E-2</v>
      </c>
      <c r="F49" s="23">
        <f t="shared" si="4"/>
        <v>3.6586646024150085E-2</v>
      </c>
      <c r="G49" s="47">
        <f>'[6]Moody''s Rates'!C66</f>
        <v>7.6799999999999993E-2</v>
      </c>
      <c r="H49" s="23">
        <f t="shared" si="3"/>
        <v>2.9951880508655077E-2</v>
      </c>
      <c r="I49" s="48">
        <f>'[6]Moody''s Rates'!K66</f>
        <v>8.48E-2</v>
      </c>
      <c r="J49" s="49">
        <f t="shared" si="3"/>
        <v>4.3180404854323576E-2</v>
      </c>
      <c r="K49" s="50">
        <v>3.4220275692410596E-2</v>
      </c>
      <c r="L49" s="51"/>
    </row>
    <row r="50" spans="1:12" ht="15.75">
      <c r="A50" s="20">
        <v>1974</v>
      </c>
      <c r="B50" s="20">
        <v>68.56</v>
      </c>
      <c r="C50" s="46">
        <v>3.7228080000000001</v>
      </c>
      <c r="D50" s="23">
        <f t="shared" si="2"/>
        <v>5.4300000000000001E-2</v>
      </c>
      <c r="E50" s="24">
        <v>7.4300000000000005E-2</v>
      </c>
      <c r="F50" s="23">
        <f t="shared" si="4"/>
        <v>1.9886086932378574E-2</v>
      </c>
      <c r="G50" s="47">
        <f>'[6]Moody''s Rates'!C67</f>
        <v>8.8900000000000007E-2</v>
      </c>
      <c r="H50" s="23">
        <f t="shared" si="3"/>
        <v>-1.2310591515394126E-3</v>
      </c>
      <c r="I50" s="48">
        <f>'[6]Moody''s Rates'!K67</f>
        <v>0.10630000000000001</v>
      </c>
      <c r="J50" s="49">
        <f t="shared" si="3"/>
        <v>-4.3807197977191667E-2</v>
      </c>
      <c r="K50" s="50">
        <v>0.10073521479539305</v>
      </c>
      <c r="L50" s="51"/>
    </row>
    <row r="51" spans="1:12" ht="15.75">
      <c r="A51" s="20">
        <v>1975</v>
      </c>
      <c r="B51" s="20">
        <v>90.19</v>
      </c>
      <c r="C51" s="46">
        <v>3.7338659999999999</v>
      </c>
      <c r="D51" s="23">
        <f t="shared" si="2"/>
        <v>4.1399999999999999E-2</v>
      </c>
      <c r="E51" s="24">
        <v>0.08</v>
      </c>
      <c r="F51" s="23">
        <f t="shared" si="4"/>
        <v>3.6052536026033838E-2</v>
      </c>
      <c r="G51" s="47">
        <f>'[6]Moody''s Rates'!C68</f>
        <v>8.7899999999999992E-2</v>
      </c>
      <c r="H51" s="23">
        <f t="shared" si="3"/>
        <v>9.5377407275910403E-2</v>
      </c>
      <c r="I51" s="48">
        <f>'[6]Moody''s Rates'!K68</f>
        <v>0.1056</v>
      </c>
      <c r="J51" s="49">
        <f t="shared" si="3"/>
        <v>0.11049964074144952</v>
      </c>
      <c r="K51" s="50">
        <v>6.7575900936054811E-2</v>
      </c>
      <c r="L51" s="51"/>
    </row>
    <row r="52" spans="1:12" ht="15.75">
      <c r="A52" s="20">
        <v>1976</v>
      </c>
      <c r="B52" s="20">
        <v>107.46</v>
      </c>
      <c r="C52" s="46">
        <v>4.2231779999999999</v>
      </c>
      <c r="D52" s="23">
        <f t="shared" si="2"/>
        <v>3.9300000000000002E-2</v>
      </c>
      <c r="E52" s="24">
        <v>6.8699999999999997E-2</v>
      </c>
      <c r="F52" s="23">
        <f t="shared" si="4"/>
        <v>0.1598456074290921</v>
      </c>
      <c r="G52" s="47">
        <f>'[6]Moody''s Rates'!C69</f>
        <v>7.980000000000001E-2</v>
      </c>
      <c r="H52" s="23">
        <f t="shared" si="3"/>
        <v>0.1423007238393551</v>
      </c>
      <c r="I52" s="48">
        <f>'[6]Moody''s Rates'!K69</f>
        <v>9.1199999999999989E-2</v>
      </c>
      <c r="J52" s="49">
        <f t="shared" si="3"/>
        <v>0.19752813987098014</v>
      </c>
      <c r="K52" s="50">
        <v>8.1979599546656567E-2</v>
      </c>
      <c r="L52" s="51"/>
    </row>
    <row r="53" spans="1:12" ht="15.75">
      <c r="A53" s="20">
        <v>1977</v>
      </c>
      <c r="B53" s="20">
        <v>95.1</v>
      </c>
      <c r="C53" s="46">
        <v>4.85961</v>
      </c>
      <c r="D53" s="23">
        <f t="shared" si="2"/>
        <v>5.11E-2</v>
      </c>
      <c r="E53" s="24">
        <v>7.6899999999999996E-2</v>
      </c>
      <c r="F53" s="23">
        <f t="shared" si="4"/>
        <v>1.2899606071070449E-2</v>
      </c>
      <c r="G53" s="47">
        <f>'[6]Moody''s Rates'!C70</f>
        <v>8.1900000000000001E-2</v>
      </c>
      <c r="H53" s="23">
        <f t="shared" si="3"/>
        <v>6.5828795102617438E-2</v>
      </c>
      <c r="I53" s="48">
        <f>'[6]Moody''s Rates'!K70</f>
        <v>8.9900000000000008E-2</v>
      </c>
      <c r="J53" s="49">
        <f t="shared" si="3"/>
        <v>9.9546628520906386E-2</v>
      </c>
      <c r="K53" s="50">
        <v>0.14664804469273762</v>
      </c>
      <c r="L53" s="51"/>
    </row>
    <row r="54" spans="1:12" ht="15.75">
      <c r="A54" s="20">
        <v>1978</v>
      </c>
      <c r="B54" s="20">
        <v>96.11</v>
      </c>
      <c r="C54" s="46">
        <v>5.1803290000000004</v>
      </c>
      <c r="D54" s="23">
        <f t="shared" si="2"/>
        <v>5.3900000000000003E-2</v>
      </c>
      <c r="E54" s="24">
        <v>9.01E-2</v>
      </c>
      <c r="F54" s="23">
        <f t="shared" si="4"/>
        <v>-7.7758069075086478E-3</v>
      </c>
      <c r="G54" s="47">
        <f>'[6]Moody''s Rates'!C71</f>
        <v>9.1600000000000001E-2</v>
      </c>
      <c r="H54" s="23">
        <f t="shared" si="3"/>
        <v>2.0084743079482631E-2</v>
      </c>
      <c r="I54" s="48">
        <f>'[6]Moody''s Rates'!K71</f>
        <v>9.9399999999999988E-2</v>
      </c>
      <c r="J54" s="49">
        <f t="shared" si="3"/>
        <v>3.1375849771690861E-2</v>
      </c>
      <c r="K54" s="50">
        <v>0.15712545676004863</v>
      </c>
      <c r="L54" s="51"/>
    </row>
    <row r="55" spans="1:12" ht="15.75">
      <c r="A55" s="20">
        <v>1979</v>
      </c>
      <c r="B55" s="20">
        <v>107.94</v>
      </c>
      <c r="C55" s="46">
        <v>5.9690820000000002</v>
      </c>
      <c r="D55" s="23">
        <f t="shared" si="2"/>
        <v>5.5300000000000002E-2</v>
      </c>
      <c r="E55" s="24">
        <v>0.10390000000000001</v>
      </c>
      <c r="F55" s="23">
        <f t="shared" si="4"/>
        <v>6.7072031247235459E-3</v>
      </c>
      <c r="G55" s="47">
        <f>'[6]Moody''s Rates'!C72</f>
        <v>0.1074</v>
      </c>
      <c r="H55" s="23">
        <f t="shared" si="3"/>
        <v>-2.4730935003710736E-3</v>
      </c>
      <c r="I55" s="48">
        <f>'[6]Moody''s Rates'!K72</f>
        <v>0.1206</v>
      </c>
      <c r="J55" s="49">
        <f t="shared" si="3"/>
        <v>-2.0091101436615355E-2</v>
      </c>
      <c r="K55" s="50">
        <v>0.13736842105263158</v>
      </c>
      <c r="L55" s="51"/>
    </row>
    <row r="56" spans="1:12" ht="15.75">
      <c r="A56" s="20">
        <v>1980</v>
      </c>
      <c r="B56" s="20">
        <v>135.76</v>
      </c>
      <c r="C56" s="46">
        <v>6.4350240000000003</v>
      </c>
      <c r="D56" s="23">
        <f t="shared" si="2"/>
        <v>4.7400000000000005E-2</v>
      </c>
      <c r="E56" s="24">
        <v>0.12839999999999999</v>
      </c>
      <c r="F56" s="23">
        <f t="shared" si="4"/>
        <v>-2.989744251999403E-2</v>
      </c>
      <c r="G56" s="47">
        <f>'[6]Moody''s Rates'!C73</f>
        <v>0.1321</v>
      </c>
      <c r="H56" s="23">
        <f t="shared" si="3"/>
        <v>-2.5510823097555202E-2</v>
      </c>
      <c r="I56" s="48">
        <f>'[6]Moody''s Rates'!K73</f>
        <v>0.15140000000000001</v>
      </c>
      <c r="J56" s="49">
        <f t="shared" si="3"/>
        <v>-3.3156783371910456E-2</v>
      </c>
      <c r="K56" s="50">
        <v>7.4039796390559909E-2</v>
      </c>
      <c r="L56" s="51"/>
    </row>
    <row r="57" spans="1:12" ht="15.75">
      <c r="A57" s="20">
        <v>1981</v>
      </c>
      <c r="B57" s="20">
        <v>122.55</v>
      </c>
      <c r="C57" s="46">
        <v>6.8260350000000001</v>
      </c>
      <c r="D57" s="23">
        <f t="shared" si="2"/>
        <v>5.57E-2</v>
      </c>
      <c r="E57" s="24">
        <v>0.13719999999999999</v>
      </c>
      <c r="F57" s="23">
        <f t="shared" si="4"/>
        <v>8.1992153358923542E-2</v>
      </c>
      <c r="G57" s="47">
        <f>'[6]Moody''s Rates'!C74</f>
        <v>0.14230000000000001</v>
      </c>
      <c r="H57" s="23">
        <f t="shared" si="3"/>
        <v>7.936976425152531E-2</v>
      </c>
      <c r="I57" s="48">
        <f>'[6]Moody''s Rates'!K74</f>
        <v>0.16550000000000001</v>
      </c>
      <c r="J57" s="49">
        <f t="shared" si="3"/>
        <v>8.4623994808912056E-2</v>
      </c>
      <c r="K57" s="50">
        <v>5.0840155105557949E-2</v>
      </c>
      <c r="L57" s="51"/>
    </row>
    <row r="58" spans="1:12" ht="15.75">
      <c r="A58" s="20">
        <v>1982</v>
      </c>
      <c r="B58" s="20">
        <v>140.63999999999999</v>
      </c>
      <c r="C58" s="46">
        <v>6.9335519999999997</v>
      </c>
      <c r="D58" s="23">
        <f t="shared" si="2"/>
        <v>4.9300000000000004E-2</v>
      </c>
      <c r="E58" s="24">
        <v>0.10539999999999999</v>
      </c>
      <c r="F58" s="23">
        <f t="shared" si="4"/>
        <v>0.32814549486295586</v>
      </c>
      <c r="G58" s="47">
        <f>'[6]Moody''s Rates'!C75</f>
        <v>0.1183</v>
      </c>
      <c r="H58" s="23">
        <f t="shared" si="3"/>
        <v>0.27885424288106153</v>
      </c>
      <c r="I58" s="48">
        <f>'[6]Moody''s Rates'!K75</f>
        <v>0.1414</v>
      </c>
      <c r="J58" s="49">
        <f t="shared" si="3"/>
        <v>0.2905245565590866</v>
      </c>
      <c r="K58" s="50">
        <v>5.740057400573928E-3</v>
      </c>
      <c r="L58" s="51"/>
    </row>
    <row r="59" spans="1:12" ht="15.75">
      <c r="A59" s="20">
        <v>1983</v>
      </c>
      <c r="B59" s="20">
        <v>164.93</v>
      </c>
      <c r="C59" s="46">
        <v>7.1249760000000002</v>
      </c>
      <c r="D59" s="23">
        <f t="shared" si="2"/>
        <v>4.3200000000000002E-2</v>
      </c>
      <c r="E59" s="24">
        <v>0.1183</v>
      </c>
      <c r="F59" s="23">
        <f t="shared" si="4"/>
        <v>3.2002094451429264E-2</v>
      </c>
      <c r="G59" s="47">
        <f>'[6]Moody''s Rates'!C76</f>
        <v>0.12570000000000001</v>
      </c>
      <c r="H59" s="23">
        <f t="shared" si="3"/>
        <v>7.7446147074418478E-2</v>
      </c>
      <c r="I59" s="48">
        <f>'[6]Moody''s Rates'!K76</f>
        <v>0.13750000000000001</v>
      </c>
      <c r="J59" s="49">
        <f t="shared" si="3"/>
        <v>0.16194289622798366</v>
      </c>
      <c r="K59" s="50">
        <v>4.7492865878516088E-2</v>
      </c>
      <c r="L59" s="51"/>
    </row>
    <row r="60" spans="1:12" ht="15.75">
      <c r="A60" s="20">
        <v>1984</v>
      </c>
      <c r="B60" s="20">
        <v>167.24</v>
      </c>
      <c r="C60" s="46">
        <v>7.8268319999999996</v>
      </c>
      <c r="D60" s="23">
        <f t="shared" si="2"/>
        <v>4.6799999999999994E-2</v>
      </c>
      <c r="E60" s="24">
        <v>0.115</v>
      </c>
      <c r="F60" s="23">
        <f t="shared" si="4"/>
        <v>0.13733364344102345</v>
      </c>
      <c r="G60" s="47">
        <f>'[6]Moody''s Rates'!C77</f>
        <v>0.12130000000000001</v>
      </c>
      <c r="H60" s="23">
        <f t="shared" si="3"/>
        <v>0.15042924074795624</v>
      </c>
      <c r="I60" s="48">
        <f>'[6]Moody''s Rates'!K77</f>
        <v>0.13400000000000001</v>
      </c>
      <c r="J60" s="49">
        <f t="shared" si="3"/>
        <v>0.15619207332454216</v>
      </c>
      <c r="K60" s="50">
        <v>4.6701692936368833E-2</v>
      </c>
      <c r="L60" s="51"/>
    </row>
    <row r="61" spans="1:12" ht="15.75">
      <c r="A61" s="20">
        <v>1985</v>
      </c>
      <c r="B61" s="20">
        <v>211.28</v>
      </c>
      <c r="C61" s="46">
        <v>8.1976639999999996</v>
      </c>
      <c r="D61" s="23">
        <f t="shared" si="2"/>
        <v>3.8800000000000001E-2</v>
      </c>
      <c r="E61" s="24">
        <v>9.2600000000000002E-2</v>
      </c>
      <c r="F61" s="23">
        <f t="shared" si="4"/>
        <v>0.2571248821260641</v>
      </c>
      <c r="G61" s="47">
        <f>'[6]Moody''s Rates'!C78</f>
        <v>0.1016</v>
      </c>
      <c r="H61" s="23">
        <f t="shared" si="3"/>
        <v>0.2415204152349289</v>
      </c>
      <c r="I61" s="48">
        <f>'[6]Moody''s Rates'!K78</f>
        <v>0.1158</v>
      </c>
      <c r="J61" s="49">
        <f t="shared" si="3"/>
        <v>0.23862641849916477</v>
      </c>
      <c r="K61" s="50">
        <v>7.4735080870050208E-2</v>
      </c>
      <c r="L61" s="51"/>
    </row>
    <row r="62" spans="1:12" ht="15.75">
      <c r="A62" s="20">
        <v>1986</v>
      </c>
      <c r="B62" s="20">
        <v>242.17</v>
      </c>
      <c r="C62" s="46">
        <v>8.1853459999999991</v>
      </c>
      <c r="D62" s="23">
        <f t="shared" si="2"/>
        <v>3.3799999999999997E-2</v>
      </c>
      <c r="E62" s="24">
        <v>7.1099999999999997E-2</v>
      </c>
      <c r="F62" s="23">
        <f t="shared" si="4"/>
        <v>0.24284215141767618</v>
      </c>
      <c r="G62" s="47">
        <f>'[6]Moody''s Rates'!C79</f>
        <v>8.4900000000000003E-2</v>
      </c>
      <c r="H62" s="23">
        <f t="shared" si="3"/>
        <v>0.21122335206274076</v>
      </c>
      <c r="I62" s="48">
        <f>'[6]Moody''s Rates'!K79</f>
        <v>9.9700000000000011E-2</v>
      </c>
      <c r="J62" s="49">
        <f t="shared" si="3"/>
        <v>0.21485515309759495</v>
      </c>
      <c r="K62" s="50">
        <v>9.6177131984085618E-2</v>
      </c>
      <c r="L62" s="51"/>
    </row>
    <row r="63" spans="1:12" ht="15.75">
      <c r="A63" s="20">
        <v>1987</v>
      </c>
      <c r="B63" s="20">
        <v>247.08</v>
      </c>
      <c r="C63" s="46">
        <v>9.1666679999999996</v>
      </c>
      <c r="D63" s="23">
        <f t="shared" si="2"/>
        <v>3.7099999999999994E-2</v>
      </c>
      <c r="E63" s="24">
        <v>8.9899999999999994E-2</v>
      </c>
      <c r="F63" s="23">
        <f t="shared" si="4"/>
        <v>-4.9605089379262279E-2</v>
      </c>
      <c r="G63" s="47">
        <f>'[6]Moody''s Rates'!C80</f>
        <v>0.1011</v>
      </c>
      <c r="H63" s="23">
        <f t="shared" si="3"/>
        <v>-1.4173339017619274E-2</v>
      </c>
      <c r="I63" s="48">
        <f>'[6]Moody''s Rates'!K80</f>
        <v>0.11289999999999999</v>
      </c>
      <c r="J63" s="49">
        <f t="shared" si="3"/>
        <v>2.289846084276681E-2</v>
      </c>
      <c r="K63" s="23">
        <v>7.8700000000000006E-2</v>
      </c>
      <c r="L63" s="51"/>
    </row>
    <row r="64" spans="1:12" ht="15.75">
      <c r="A64" s="20">
        <v>1988</v>
      </c>
      <c r="B64" s="20">
        <v>277.72000000000003</v>
      </c>
      <c r="C64" s="46">
        <v>10.220096</v>
      </c>
      <c r="D64" s="23">
        <f t="shared" si="2"/>
        <v>3.6799999999999992E-2</v>
      </c>
      <c r="E64" s="24">
        <v>9.11E-2</v>
      </c>
      <c r="F64" s="23">
        <f t="shared" si="4"/>
        <v>8.2235958434841674E-2</v>
      </c>
      <c r="G64" s="47">
        <f>'[6]Moody''s Rates'!C81</f>
        <v>9.5700000000000007E-2</v>
      </c>
      <c r="H64" s="23">
        <f t="shared" si="3"/>
        <v>0.13490255038073731</v>
      </c>
      <c r="I64" s="48">
        <f>'[6]Moody''s Rates'!K81</f>
        <v>0.1065</v>
      </c>
      <c r="J64" s="49">
        <f t="shared" si="3"/>
        <v>0.15115070067120029</v>
      </c>
      <c r="K64" s="52">
        <v>7.2104600000000005E-2</v>
      </c>
      <c r="L64" s="51"/>
    </row>
    <row r="65" spans="1:16" ht="15.75">
      <c r="A65" s="20">
        <v>1989</v>
      </c>
      <c r="B65" s="20">
        <v>353.4</v>
      </c>
      <c r="C65" s="46">
        <v>11.73288</v>
      </c>
      <c r="D65" s="23">
        <f t="shared" si="2"/>
        <v>3.32E-2</v>
      </c>
      <c r="E65" s="24">
        <v>7.8399999999999997E-2</v>
      </c>
      <c r="F65" s="23">
        <f t="shared" si="4"/>
        <v>0.17693647159446219</v>
      </c>
      <c r="G65" s="47">
        <f>'[6]Moody''s Rates'!C82</f>
        <v>8.8599999999999998E-2</v>
      </c>
      <c r="H65" s="23">
        <f t="shared" si="3"/>
        <v>0.14154750544747474</v>
      </c>
      <c r="I65" s="48">
        <f>'[6]Moody''s Rates'!K82</f>
        <v>9.820000000000001E-2</v>
      </c>
      <c r="J65" s="49">
        <f t="shared" si="3"/>
        <v>0.15789666531437313</v>
      </c>
      <c r="K65" s="52">
        <v>4.3813399999999995E-2</v>
      </c>
      <c r="L65" s="51"/>
    </row>
    <row r="66" spans="1:16" ht="15.75">
      <c r="A66" s="20">
        <v>1990</v>
      </c>
      <c r="B66" s="20">
        <v>330.22</v>
      </c>
      <c r="C66" s="46">
        <v>12.350228</v>
      </c>
      <c r="D66" s="23">
        <f t="shared" si="2"/>
        <v>3.7399999999999996E-2</v>
      </c>
      <c r="E66" s="24">
        <v>8.0799999999999997E-2</v>
      </c>
      <c r="F66" s="23">
        <f t="shared" si="4"/>
        <v>6.2353753335533363E-2</v>
      </c>
      <c r="G66" s="47">
        <f>'[6]Moody''s Rates'!C83</f>
        <v>9.0500000000000011E-2</v>
      </c>
      <c r="H66" s="23">
        <f t="shared" si="3"/>
        <v>7.6433240246967835E-2</v>
      </c>
      <c r="I66" s="48">
        <f>'[6]Moody''s Rates'!K83</f>
        <v>0.1043</v>
      </c>
      <c r="J66" s="49">
        <f t="shared" si="3"/>
        <v>6.1400628860817041E-2</v>
      </c>
      <c r="K66" s="52">
        <v>-6.9674000000000003E-3</v>
      </c>
      <c r="L66" s="51"/>
    </row>
    <row r="67" spans="1:16" ht="15.75">
      <c r="A67" s="20">
        <v>1991</v>
      </c>
      <c r="B67" s="20">
        <v>417.09</v>
      </c>
      <c r="C67" s="46">
        <v>12.971499</v>
      </c>
      <c r="D67" s="23">
        <f t="shared" si="2"/>
        <v>3.1100000000000003E-2</v>
      </c>
      <c r="E67" s="24">
        <v>7.0900000000000005E-2</v>
      </c>
      <c r="F67" s="23">
        <f t="shared" si="4"/>
        <v>0.15004510019517303</v>
      </c>
      <c r="G67" s="47">
        <f>'[6]Moody''s Rates'!C84</f>
        <v>8.3100000000000007E-2</v>
      </c>
      <c r="H67" s="23">
        <f t="shared" si="3"/>
        <v>0.13946773002644575</v>
      </c>
      <c r="I67" s="48">
        <f>'[6]Moody''s Rates'!K84</f>
        <v>9.2600000000000002E-2</v>
      </c>
      <c r="J67" s="49">
        <f t="shared" si="3"/>
        <v>0.17853487146763175</v>
      </c>
      <c r="K67" s="52">
        <v>-1.7638999999999999E-3</v>
      </c>
      <c r="L67" s="51"/>
    </row>
    <row r="68" spans="1:16" ht="15.75">
      <c r="A68" s="20">
        <v>1992</v>
      </c>
      <c r="B68" s="20">
        <v>435.71</v>
      </c>
      <c r="C68" s="46">
        <v>12.635590000000001</v>
      </c>
      <c r="D68" s="23">
        <f t="shared" si="2"/>
        <v>2.9000000000000001E-2</v>
      </c>
      <c r="E68" s="24">
        <v>6.7699999999999996E-2</v>
      </c>
      <c r="F68" s="23">
        <f t="shared" si="4"/>
        <v>9.3616373162079422E-2</v>
      </c>
      <c r="G68" s="47">
        <f>'[6]Moody''s Rates'!C85</f>
        <v>7.980000000000001E-2</v>
      </c>
      <c r="H68" s="23">
        <f t="shared" si="3"/>
        <v>0.10526325786047802</v>
      </c>
      <c r="I68" s="48">
        <f>'[6]Moody''s Rates'!K85</f>
        <v>8.8100000000000012E-2</v>
      </c>
      <c r="J68" s="49">
        <f t="shared" si="3"/>
        <v>0.12172255869896652</v>
      </c>
      <c r="K68" s="52">
        <v>8.360600000000001E-3</v>
      </c>
      <c r="L68" s="51"/>
    </row>
    <row r="69" spans="1:16" ht="15.75">
      <c r="A69" s="20">
        <v>1993</v>
      </c>
      <c r="B69" s="20">
        <v>466.45</v>
      </c>
      <c r="C69" s="46">
        <v>12.68744</v>
      </c>
      <c r="D69" s="23">
        <f t="shared" si="2"/>
        <v>2.7200000000000002E-2</v>
      </c>
      <c r="E69" s="24">
        <v>5.7700000000000001E-2</v>
      </c>
      <c r="F69" s="23">
        <f t="shared" si="4"/>
        <v>0.14210957589263107</v>
      </c>
      <c r="G69" s="47">
        <f>'[6]Moody''s Rates'!C86</f>
        <v>6.93E-2</v>
      </c>
      <c r="H69" s="23">
        <f t="shared" si="3"/>
        <v>0.15378682739217445</v>
      </c>
      <c r="I69" s="48">
        <f>'[6]Moody''s Rates'!K86</f>
        <v>7.690000000000001E-2</v>
      </c>
      <c r="J69" s="49">
        <f t="shared" si="3"/>
        <v>0.16431517219561104</v>
      </c>
      <c r="K69" s="52">
        <v>2.1617500000000001E-2</v>
      </c>
      <c r="L69" s="51"/>
    </row>
    <row r="70" spans="1:16" ht="15.75">
      <c r="A70" s="20">
        <v>1994</v>
      </c>
      <c r="B70" s="20">
        <v>459.27</v>
      </c>
      <c r="C70" s="46">
        <v>13.364757000000001</v>
      </c>
      <c r="D70" s="23">
        <f t="shared" si="2"/>
        <v>2.9100000000000004E-2</v>
      </c>
      <c r="E70" s="24">
        <v>7.8100000000000003E-2</v>
      </c>
      <c r="F70" s="23">
        <f t="shared" si="4"/>
        <v>-8.0366555509985921E-2</v>
      </c>
      <c r="G70" s="47">
        <f>'[6]Moody''s Rates'!C87</f>
        <v>8.4600000000000009E-2</v>
      </c>
      <c r="H70" s="23">
        <f t="shared" si="3"/>
        <v>-3.1267791342206058E-2</v>
      </c>
      <c r="I70" s="48">
        <f>'[6]Moody''s Rates'!K87</f>
        <v>9.0999999999999998E-2</v>
      </c>
      <c r="J70" s="49">
        <f t="shared" si="3"/>
        <v>-1.3192033475710699E-2</v>
      </c>
      <c r="K70" s="52">
        <v>2.51539E-2</v>
      </c>
      <c r="L70" s="51"/>
    </row>
    <row r="71" spans="1:16" ht="15.75">
      <c r="A71" s="20">
        <v>1995</v>
      </c>
      <c r="B71" s="20">
        <v>615.92999999999995</v>
      </c>
      <c r="C71" s="46">
        <v>14.16639</v>
      </c>
      <c r="D71" s="23">
        <f t="shared" si="2"/>
        <v>2.3000000000000003E-2</v>
      </c>
      <c r="E71" s="24">
        <v>5.7099999999999998E-2</v>
      </c>
      <c r="F71" s="23">
        <f t="shared" si="4"/>
        <v>0.23480780112538907</v>
      </c>
      <c r="G71" s="47">
        <f>'[6]Moody''s Rates'!C88</f>
        <v>6.8199999999999997E-2</v>
      </c>
      <c r="H71" s="23">
        <f t="shared" si="3"/>
        <v>0.20075128768093986</v>
      </c>
      <c r="I71" s="48">
        <f>'[6]Moody''s Rates'!K88</f>
        <v>7.4900000000000008E-2</v>
      </c>
      <c r="J71" s="49">
        <f t="shared" si="3"/>
        <v>0.20156218170640219</v>
      </c>
      <c r="K71" s="52">
        <v>1.8081E-2</v>
      </c>
      <c r="L71" s="51"/>
    </row>
    <row r="72" spans="1:16" ht="15.75">
      <c r="A72" s="20">
        <v>1996</v>
      </c>
      <c r="B72" s="20">
        <v>740.74</v>
      </c>
      <c r="C72" s="46">
        <v>14.888873999999999</v>
      </c>
      <c r="D72" s="23">
        <f t="shared" si="2"/>
        <v>2.01E-2</v>
      </c>
      <c r="E72" s="24">
        <v>6.3E-2</v>
      </c>
      <c r="F72" s="23">
        <f t="shared" si="4"/>
        <v>1.428607793401844E-2</v>
      </c>
      <c r="G72" s="47">
        <f>'[6]Moody''s Rates'!C89</f>
        <v>7.2000000000000008E-2</v>
      </c>
      <c r="H72" s="23">
        <f t="shared" si="3"/>
        <v>4.1755398514910128E-2</v>
      </c>
      <c r="I72" s="48">
        <f>'[6]Moody''s Rates'!K89</f>
        <v>7.8899999999999998E-2</v>
      </c>
      <c r="J72" s="49">
        <f t="shared" si="3"/>
        <v>4.79259941944115E-2</v>
      </c>
      <c r="K72" s="52">
        <v>2.4309500000000001E-2</v>
      </c>
      <c r="L72" s="51"/>
    </row>
    <row r="73" spans="1:16" ht="15.75">
      <c r="A73" s="20">
        <v>1997</v>
      </c>
      <c r="B73" s="20">
        <v>970.43</v>
      </c>
      <c r="C73" s="46">
        <v>15.522</v>
      </c>
      <c r="D73" s="23">
        <f t="shared" si="2"/>
        <v>1.5994971301381864E-2</v>
      </c>
      <c r="E73" s="24">
        <v>5.8099999999999999E-2</v>
      </c>
      <c r="F73" s="23">
        <f t="shared" si="4"/>
        <v>9.939130272977531E-2</v>
      </c>
      <c r="G73" s="47">
        <f>'[6]Moody''s Rates'!C90</f>
        <v>6.7599999999999993E-2</v>
      </c>
      <c r="H73" s="23">
        <f t="shared" si="3"/>
        <v>0.10324953852843505</v>
      </c>
      <c r="I73" s="48">
        <f>'[6]Moody''s Rates'!K90</f>
        <v>7.3200000000000001E-2</v>
      </c>
      <c r="J73" s="49">
        <f t="shared" si="3"/>
        <v>0.11834887244426365</v>
      </c>
      <c r="K73" s="52">
        <v>4.0256699999999999E-2</v>
      </c>
      <c r="L73" s="51"/>
    </row>
    <row r="74" spans="1:16" ht="15.75">
      <c r="A74" s="20">
        <v>1998</v>
      </c>
      <c r="B74" s="20">
        <v>1229.23</v>
      </c>
      <c r="C74" s="46">
        <v>16.2</v>
      </c>
      <c r="D74" s="23">
        <f t="shared" si="2"/>
        <v>1.3178981964319126E-2</v>
      </c>
      <c r="E74" s="24">
        <v>4.65E-2</v>
      </c>
      <c r="F74" s="23">
        <f t="shared" si="4"/>
        <v>0.14921431922606215</v>
      </c>
      <c r="G74" s="47">
        <f>'[6]Moody''s Rates'!C91</f>
        <v>6.2199999999999998E-2</v>
      </c>
      <c r="H74" s="23">
        <f t="shared" si="3"/>
        <v>0.10693347379601403</v>
      </c>
      <c r="I74" s="48">
        <f>'[6]Moody''s Rates'!K91</f>
        <v>7.2300000000000003E-2</v>
      </c>
      <c r="J74" s="49">
        <f t="shared" si="3"/>
        <v>7.9454561327070808E-2</v>
      </c>
      <c r="K74" s="52">
        <v>6.4379099999999995E-2</v>
      </c>
      <c r="L74" s="51"/>
    </row>
    <row r="75" spans="1:16" ht="15.75">
      <c r="A75" s="20">
        <v>1999</v>
      </c>
      <c r="B75" s="20">
        <v>1469.25</v>
      </c>
      <c r="C75" s="46">
        <v>16.709</v>
      </c>
      <c r="D75" s="23">
        <f t="shared" si="2"/>
        <v>1.1372468946741534E-2</v>
      </c>
      <c r="E75" s="24">
        <v>6.4399999999999999E-2</v>
      </c>
      <c r="F75" s="23">
        <f t="shared" si="4"/>
        <v>-8.2542147962685761E-2</v>
      </c>
      <c r="G75" s="47">
        <f>'[6]Moody''s Rates'!C92</f>
        <v>7.5499999999999998E-2</v>
      </c>
      <c r="H75" s="23">
        <f t="shared" si="3"/>
        <v>-2.8884217714904938E-2</v>
      </c>
      <c r="I75" s="48">
        <f>'[6]Moody''s Rates'!K92</f>
        <v>8.1900000000000001E-2</v>
      </c>
      <c r="J75" s="49">
        <f t="shared" si="3"/>
        <v>8.4316347548218651E-3</v>
      </c>
      <c r="K75" s="52">
        <v>7.6868999999999993E-2</v>
      </c>
      <c r="L75" s="51"/>
    </row>
    <row r="76" spans="1:16" s="26" customFormat="1" ht="15.75">
      <c r="A76" s="20">
        <v>2000</v>
      </c>
      <c r="B76" s="20">
        <v>1320.28</v>
      </c>
      <c r="C76" s="20">
        <v>16.27</v>
      </c>
      <c r="D76" s="24">
        <f t="shared" si="2"/>
        <v>1.2323143575605175E-2</v>
      </c>
      <c r="E76" s="24">
        <v>5.11E-2</v>
      </c>
      <c r="F76" s="23">
        <f t="shared" si="4"/>
        <v>0.16655267125397488</v>
      </c>
      <c r="G76" s="47">
        <f>'[6]Moody''s Rates'!C93</f>
        <v>7.2099999999999997E-2</v>
      </c>
      <c r="H76" s="23">
        <f t="shared" si="3"/>
        <v>9.9150079408874534E-2</v>
      </c>
      <c r="I76" s="48">
        <f>'[6]Moody''s Rates'!K93</f>
        <v>8.0199999999999994E-2</v>
      </c>
      <c r="J76" s="49">
        <f t="shared" si="3"/>
        <v>9.3296855210372037E-2</v>
      </c>
      <c r="K76" s="52">
        <v>9.2541499999999999E-2</v>
      </c>
      <c r="L76" s="51"/>
      <c r="P76" s="14"/>
    </row>
    <row r="77" spans="1:16" ht="15.75">
      <c r="A77" s="20">
        <v>2001</v>
      </c>
      <c r="B77" s="20">
        <v>1148.0899999999999</v>
      </c>
      <c r="C77" s="20">
        <v>15.74</v>
      </c>
      <c r="D77" s="24">
        <f t="shared" si="2"/>
        <v>1.3709726589378883E-2</v>
      </c>
      <c r="E77" s="24">
        <v>5.0500000000000003E-2</v>
      </c>
      <c r="F77" s="23">
        <f t="shared" si="4"/>
        <v>5.5721811892492555E-2</v>
      </c>
      <c r="G77" s="47">
        <f>'[6]Moody''s Rates'!C94</f>
        <v>6.7699999999999996E-2</v>
      </c>
      <c r="H77" s="23">
        <f t="shared" si="3"/>
        <v>0.10333501309785936</v>
      </c>
      <c r="I77" s="48">
        <f>'[6]Moody''s Rates'!K94</f>
        <v>8.0500000000000002E-2</v>
      </c>
      <c r="J77" s="49">
        <f t="shared" si="3"/>
        <v>7.8191507542878236E-2</v>
      </c>
      <c r="K77" s="52">
        <v>6.6769599999999998E-2</v>
      </c>
      <c r="L77" s="51"/>
    </row>
    <row r="78" spans="1:16" s="27" customFormat="1" ht="15.75">
      <c r="A78" s="20">
        <v>2002</v>
      </c>
      <c r="B78" s="20">
        <v>879.82</v>
      </c>
      <c r="C78" s="20">
        <v>16.079999999999998</v>
      </c>
      <c r="D78" s="24">
        <f t="shared" si="2"/>
        <v>1.8276465640699232E-2</v>
      </c>
      <c r="E78" s="24">
        <v>3.8199999999999998E-2</v>
      </c>
      <c r="F78" s="23">
        <f t="shared" si="4"/>
        <v>0.15116400378109285</v>
      </c>
      <c r="G78" s="47">
        <f>'[6]Moody''s Rates'!C95</f>
        <v>6.2100000000000002E-2</v>
      </c>
      <c r="H78" s="23">
        <f t="shared" si="3"/>
        <v>0.10850949683905776</v>
      </c>
      <c r="I78" s="48">
        <f>'[6]Moody''s Rates'!K95</f>
        <v>7.4499999999999997E-2</v>
      </c>
      <c r="J78" s="49">
        <f t="shared" si="3"/>
        <v>0.12177867693975485</v>
      </c>
      <c r="K78" s="52">
        <v>9.5591799999999991E-2</v>
      </c>
      <c r="L78" s="51"/>
      <c r="P78" s="14"/>
    </row>
    <row r="79" spans="1:16" ht="15.75">
      <c r="A79" s="20">
        <v>2003</v>
      </c>
      <c r="B79" s="20">
        <v>1111.9100000000001</v>
      </c>
      <c r="C79" s="20">
        <v>17.39</v>
      </c>
      <c r="D79" s="24">
        <f t="shared" si="2"/>
        <v>1.5639755016143394E-2</v>
      </c>
      <c r="E79" s="24">
        <v>4.2500000000000003E-2</v>
      </c>
      <c r="F79" s="23">
        <f t="shared" si="4"/>
        <v>3.7531858817758529E-3</v>
      </c>
      <c r="G79" s="47">
        <f>'[6]Moody''s Rates'!C96</f>
        <v>5.62E-2</v>
      </c>
      <c r="H79" s="23">
        <f t="shared" si="3"/>
        <v>0.10631712772928155</v>
      </c>
      <c r="I79" s="48">
        <f>'[6]Moody''s Rates'!K96</f>
        <v>6.6000000000000003E-2</v>
      </c>
      <c r="J79" s="49">
        <f t="shared" si="3"/>
        <v>0.13532012096857571</v>
      </c>
      <c r="K79" s="52">
        <v>9.8167500000000005E-2</v>
      </c>
      <c r="L79" s="51"/>
    </row>
    <row r="80" spans="1:16" s="53" customFormat="1" ht="15.75">
      <c r="A80" s="20">
        <v>2004</v>
      </c>
      <c r="B80" s="20">
        <v>1211.92</v>
      </c>
      <c r="C80" s="20">
        <v>19.440000000000001</v>
      </c>
      <c r="D80" s="24">
        <f t="shared" si="2"/>
        <v>1.6040662750016504E-2</v>
      </c>
      <c r="E80" s="24">
        <v>4.2200000000000001E-2</v>
      </c>
      <c r="F80" s="23">
        <f t="shared" si="4"/>
        <v>4.490683702274547E-2</v>
      </c>
      <c r="G80" s="47">
        <f>'[6]Moody''s Rates'!C97</f>
        <v>5.4699999999999999E-2</v>
      </c>
      <c r="H80" s="23">
        <f t="shared" si="3"/>
        <v>6.752272621099295E-2</v>
      </c>
      <c r="I80" s="48">
        <f>'[6]Moody''s Rates'!K97</f>
        <v>6.1500000000000006E-2</v>
      </c>
      <c r="J80" s="49">
        <f t="shared" si="3"/>
        <v>9.888628408721839E-2</v>
      </c>
      <c r="K80" s="52">
        <v>0.1363799</v>
      </c>
      <c r="L80" s="51"/>
      <c r="P80" s="14"/>
    </row>
    <row r="81" spans="1:16" s="15" customFormat="1" ht="15.75">
      <c r="A81" s="20">
        <v>2005</v>
      </c>
      <c r="B81" s="20">
        <v>1248.29</v>
      </c>
      <c r="C81" s="46">
        <v>22.22</v>
      </c>
      <c r="D81" s="24">
        <f t="shared" si="2"/>
        <v>1.7800350880003844E-2</v>
      </c>
      <c r="E81" s="24">
        <v>4.3900000000000002E-2</v>
      </c>
      <c r="F81" s="23">
        <f t="shared" si="4"/>
        <v>2.8675329597779506E-2</v>
      </c>
      <c r="G81" s="47">
        <f>'[6]Moody''s Rates'!C98</f>
        <v>5.3699999999999998E-2</v>
      </c>
      <c r="H81" s="23">
        <f t="shared" si="3"/>
        <v>6.2284850132659414E-2</v>
      </c>
      <c r="I81" s="48">
        <f>'[6]Moody''s Rates'!K98</f>
        <v>6.3200000000000006E-2</v>
      </c>
      <c r="J81" s="49">
        <f t="shared" si="3"/>
        <v>4.9175379871695298E-2</v>
      </c>
      <c r="K81" s="52">
        <v>0.13510630000000001</v>
      </c>
      <c r="L81" s="51"/>
      <c r="P81" s="14"/>
    </row>
    <row r="82" spans="1:16" ht="15.75">
      <c r="A82" s="20">
        <v>2006</v>
      </c>
      <c r="B82" s="20">
        <v>1418.3</v>
      </c>
      <c r="C82" s="20">
        <v>24.88</v>
      </c>
      <c r="D82" s="24">
        <f t="shared" si="2"/>
        <v>1.7542127899598109E-2</v>
      </c>
      <c r="E82" s="24">
        <v>4.7E-2</v>
      </c>
      <c r="F82" s="23">
        <f t="shared" si="4"/>
        <v>1.9610012417568386E-2</v>
      </c>
      <c r="G82" s="47">
        <f>'[6]Moody''s Rates'!C99</f>
        <v>5.3200000000000004E-2</v>
      </c>
      <c r="H82" s="23">
        <f t="shared" si="3"/>
        <v>5.7501566338304638E-2</v>
      </c>
      <c r="I82" s="48">
        <f>'[6]Moody''s Rates'!K99</f>
        <v>6.2199999999999998E-2</v>
      </c>
      <c r="J82" s="49">
        <f t="shared" si="3"/>
        <v>7.048397662889147E-2</v>
      </c>
      <c r="K82" s="52">
        <v>1.73391E-2</v>
      </c>
      <c r="L82" s="51"/>
    </row>
    <row r="83" spans="1:16" ht="15.75">
      <c r="A83" s="20">
        <v>2007</v>
      </c>
      <c r="B83" s="54">
        <v>1468.36</v>
      </c>
      <c r="C83" s="20">
        <v>27.73</v>
      </c>
      <c r="D83" s="21">
        <f t="shared" si="2"/>
        <v>1.8885014574082652E-2</v>
      </c>
      <c r="E83" s="21">
        <v>4.02E-2</v>
      </c>
      <c r="F83" s="23">
        <f t="shared" si="4"/>
        <v>0.10209921930012807</v>
      </c>
      <c r="G83" s="47">
        <f>'[6]Moody''s Rates'!C100</f>
        <v>5.4900000000000004E-2</v>
      </c>
      <c r="H83" s="23">
        <f t="shared" si="3"/>
        <v>4.0379887520205361E-2</v>
      </c>
      <c r="I83" s="48">
        <f>'[6]Moody''s Rates'!K100</f>
        <v>6.6500000000000004E-2</v>
      </c>
      <c r="J83" s="49">
        <f t="shared" si="3"/>
        <v>3.1503861528055586E-2</v>
      </c>
      <c r="K83" s="52">
        <v>-5.3974099999999997E-2</v>
      </c>
      <c r="L83" s="51"/>
    </row>
    <row r="84" spans="1:16" ht="15.75">
      <c r="A84" s="20">
        <v>2008</v>
      </c>
      <c r="B84" s="20">
        <v>903.25</v>
      </c>
      <c r="C84" s="20">
        <v>28.39</v>
      </c>
      <c r="D84" s="24">
        <f t="shared" si="2"/>
        <v>3.1430943814004984E-2</v>
      </c>
      <c r="E84" s="21">
        <v>2.2100000000000002E-2</v>
      </c>
      <c r="F84" s="23">
        <f t="shared" si="4"/>
        <v>0.20101279926977011</v>
      </c>
      <c r="G84" s="47">
        <f>'[6]Moody''s Rates'!C101</f>
        <v>5.0499999999999996E-2</v>
      </c>
      <c r="H84" s="23">
        <f t="shared" si="3"/>
        <v>8.8793287211613336E-2</v>
      </c>
      <c r="I84" s="48">
        <f>'[6]Moody''s Rates'!K101</f>
        <v>8.43E-2</v>
      </c>
      <c r="J84" s="49">
        <f t="shared" si="3"/>
        <v>-5.0657146287488741E-2</v>
      </c>
      <c r="K84" s="52">
        <v>-0.1199508</v>
      </c>
      <c r="L84" s="51"/>
    </row>
    <row r="85" spans="1:16" ht="15.75">
      <c r="A85" s="20">
        <v>2009</v>
      </c>
      <c r="B85" s="20">
        <v>1115.0999999999999</v>
      </c>
      <c r="C85" s="20">
        <v>22.41</v>
      </c>
      <c r="D85" s="24">
        <f t="shared" si="2"/>
        <v>2.0096852300242132E-2</v>
      </c>
      <c r="E85" s="21">
        <v>3.8399999999999997E-2</v>
      </c>
      <c r="F85" s="23">
        <f t="shared" si="4"/>
        <v>-0.11116695313259162</v>
      </c>
      <c r="G85" s="47">
        <f>'[6]Moody''s Rates'!C102</f>
        <v>5.2600000000000001E-2</v>
      </c>
      <c r="H85" s="23">
        <f t="shared" si="3"/>
        <v>3.4487164237994035E-2</v>
      </c>
      <c r="I85" s="48">
        <f>'[6]Moody''s Rates'!K102</f>
        <v>6.3700000000000007E-2</v>
      </c>
      <c r="J85" s="49">
        <f t="shared" si="3"/>
        <v>0.23329502491661896</v>
      </c>
      <c r="K85" s="52">
        <v>-3.8537399999999999E-2</v>
      </c>
      <c r="L85" s="51"/>
    </row>
    <row r="86" spans="1:16" ht="15.75">
      <c r="A86" s="20">
        <v>2010</v>
      </c>
      <c r="B86" s="20">
        <v>1257.6400000000001</v>
      </c>
      <c r="C86" s="20">
        <v>22.73</v>
      </c>
      <c r="D86" s="24">
        <f t="shared" si="2"/>
        <v>1.8073534556788905E-2</v>
      </c>
      <c r="E86" s="21">
        <v>3.2899999999999999E-2</v>
      </c>
      <c r="F86" s="16">
        <f t="shared" si="4"/>
        <v>8.4629338803557719E-2</v>
      </c>
      <c r="G86" s="47">
        <f>'[6]Moody''s Rates'!C103</f>
        <v>5.0199999999999995E-2</v>
      </c>
      <c r="H86" s="23">
        <f t="shared" si="3"/>
        <v>7.1114177574241461E-2</v>
      </c>
      <c r="I86" s="48">
        <f>'[6]Moody''s Rates'!K103</f>
        <v>6.0999999999999999E-2</v>
      </c>
      <c r="J86" s="49">
        <f t="shared" si="3"/>
        <v>8.3478423659066131E-2</v>
      </c>
      <c r="K86" s="52">
        <v>-4.1166099999999997E-2</v>
      </c>
      <c r="L86" s="55"/>
    </row>
    <row r="87" spans="1:16" ht="15.75">
      <c r="A87" s="20">
        <v>2011</v>
      </c>
      <c r="B87" s="20">
        <v>1257.5999999999999</v>
      </c>
      <c r="C87" s="20">
        <v>26.43</v>
      </c>
      <c r="D87" s="24">
        <f t="shared" si="2"/>
        <v>2.1016221374045803E-2</v>
      </c>
      <c r="E87" s="21">
        <v>1.8800000000000001E-2</v>
      </c>
      <c r="F87" s="16">
        <f t="shared" si="4"/>
        <v>0.16035334999461354</v>
      </c>
      <c r="G87" s="47">
        <f>'[6]Moody''s Rates'!C104</f>
        <v>3.9300000000000002E-2</v>
      </c>
      <c r="H87" s="23">
        <f t="shared" si="3"/>
        <v>0.13891764786643732</v>
      </c>
      <c r="I87" s="48">
        <f>'[6]Moody''s Rates'!K104</f>
        <v>5.2499999999999998E-2</v>
      </c>
      <c r="J87" s="49">
        <f t="shared" si="3"/>
        <v>0.12584514401372299</v>
      </c>
      <c r="K87" s="52">
        <v>-3.8958699999999999E-2</v>
      </c>
      <c r="L87" s="55"/>
    </row>
    <row r="88" spans="1:16" ht="15.75">
      <c r="A88" s="20">
        <v>2012</v>
      </c>
      <c r="B88" s="20">
        <v>1426.19</v>
      </c>
      <c r="C88" s="20">
        <v>31.25</v>
      </c>
      <c r="D88" s="24">
        <f t="shared" si="2"/>
        <v>2.1911526514700005E-2</v>
      </c>
      <c r="E88" s="21">
        <v>1.7600000000000001E-2</v>
      </c>
      <c r="F88" s="16">
        <f t="shared" si="4"/>
        <v>2.971571978018946E-2</v>
      </c>
      <c r="G88" s="47">
        <f>'[6]Moody''s Rates'!C105</f>
        <v>3.6499999999999998E-2</v>
      </c>
      <c r="H88" s="23">
        <f t="shared" si="3"/>
        <v>6.2411426212648391E-2</v>
      </c>
      <c r="I88" s="48">
        <f>'[6]Moody''s Rates'!K105</f>
        <v>4.6300000000000001E-2</v>
      </c>
      <c r="J88" s="49">
        <f t="shared" si="3"/>
        <v>0.10124677875843502</v>
      </c>
      <c r="K88" s="52">
        <v>6.4502799999999999E-2</v>
      </c>
      <c r="L88" s="55"/>
    </row>
    <row r="89" spans="1:16" ht="15.75">
      <c r="A89" s="20">
        <v>2013</v>
      </c>
      <c r="B89" s="20">
        <v>1848.36</v>
      </c>
      <c r="C89" s="20">
        <v>36.28</v>
      </c>
      <c r="D89" s="24">
        <f t="shared" si="2"/>
        <v>1.962821095457595E-2</v>
      </c>
      <c r="E89" s="21">
        <v>3.0360000000000002E-2</v>
      </c>
      <c r="F89" s="16">
        <f t="shared" si="4"/>
        <v>-9.104568794347262E-2</v>
      </c>
      <c r="G89" s="47">
        <f>'[6]Moody''s Rates'!C106</f>
        <v>4.6199999999999998E-2</v>
      </c>
      <c r="H89" s="23">
        <f t="shared" si="3"/>
        <v>-3.9802512709435224E-2</v>
      </c>
      <c r="I89" s="48">
        <f>'[6]Moody''s Rates'!K106</f>
        <v>5.3800000000000001E-2</v>
      </c>
      <c r="J89" s="49">
        <f t="shared" si="3"/>
        <v>-1.0559012069494618E-2</v>
      </c>
      <c r="K89" s="52">
        <v>0.10713469999999999</v>
      </c>
      <c r="L89" s="55"/>
    </row>
    <row r="90" spans="1:16" ht="15.75">
      <c r="A90" s="20">
        <v>2014</v>
      </c>
      <c r="B90" s="56">
        <v>2058.9</v>
      </c>
      <c r="C90" s="57">
        <v>39.44</v>
      </c>
      <c r="D90" s="24">
        <f t="shared" si="2"/>
        <v>1.9155859925202776E-2</v>
      </c>
      <c r="E90" s="22">
        <v>2.1700000000000001E-2</v>
      </c>
      <c r="F90" s="16">
        <f>((E89*(1-(1+E90)^(-10))/E90+1/(1+E90)^10)-1)+E89</f>
        <v>0.10746180452004755</v>
      </c>
      <c r="G90" s="47">
        <f>'[6]Moody''s Rates'!C107</f>
        <v>3.7900000000000003E-2</v>
      </c>
      <c r="H90" s="23">
        <f t="shared" si="3"/>
        <v>0.11422975731840276</v>
      </c>
      <c r="I90" s="48">
        <f>'[6]Moody''s Rates'!K107</f>
        <v>4.7400000000000005E-2</v>
      </c>
      <c r="J90" s="49">
        <f t="shared" si="3"/>
        <v>0.10384907822030469</v>
      </c>
      <c r="K90" s="52">
        <v>4.52071E-2</v>
      </c>
      <c r="L90" s="55"/>
    </row>
    <row r="91" spans="1:16" ht="15.75">
      <c r="A91" s="20">
        <v>2015</v>
      </c>
      <c r="B91" s="20">
        <v>2043.9</v>
      </c>
      <c r="C91" s="46">
        <v>43.39</v>
      </c>
      <c r="D91" s="24">
        <f t="shared" si="2"/>
        <v>2.1229022946328096E-2</v>
      </c>
      <c r="E91" s="21">
        <v>2.2700000000000001E-2</v>
      </c>
      <c r="F91" s="16">
        <f>((E90*(1-(1+E91)^(-10))/E91+1/(1+E91)^10)-1)+E90</f>
        <v>1.2842996709792224E-2</v>
      </c>
      <c r="G91" s="47">
        <f>'[6]Moody''s Rates'!C108</f>
        <v>3.9699999999999999E-2</v>
      </c>
      <c r="H91" s="23">
        <f t="shared" si="3"/>
        <v>2.3278559508915733E-2</v>
      </c>
      <c r="I91" s="48">
        <f>'[6]Moody''s Rates'!K108</f>
        <v>5.4600000000000003E-2</v>
      </c>
      <c r="J91" s="49">
        <f t="shared" si="3"/>
        <v>-6.9751836790324859E-3</v>
      </c>
      <c r="K91" s="52">
        <v>5.2189300000000001E-2</v>
      </c>
      <c r="L91" s="55"/>
    </row>
    <row r="92" spans="1:16" ht="15.75">
      <c r="A92" s="20">
        <v>2016</v>
      </c>
      <c r="B92" s="20">
        <v>2238.83</v>
      </c>
      <c r="C92" s="46">
        <v>45.7</v>
      </c>
      <c r="D92" s="24">
        <f t="shared" si="2"/>
        <v>2.0412447573062719E-2</v>
      </c>
      <c r="E92" s="21">
        <v>2.4500000000000001E-2</v>
      </c>
      <c r="F92" s="16">
        <f>((E91*(1-(1+E92)^(-10))/E92+1/(1+E92)^10)-1)+E91</f>
        <v>6.9055046987477921E-3</v>
      </c>
      <c r="G92" s="47">
        <f>'[6]Moody''s Rates'!C109</f>
        <v>4.0599999999999997E-2</v>
      </c>
      <c r="H92" s="23">
        <f t="shared" si="3"/>
        <v>3.2421948758495842E-2</v>
      </c>
      <c r="I92" s="48">
        <f>'[6]Moody''s Rates'!K109</f>
        <v>4.8300000000000003E-2</v>
      </c>
      <c r="J92" s="49">
        <f t="shared" si="3"/>
        <v>0.10365105821793222</v>
      </c>
      <c r="K92" s="52">
        <v>5.3305499999999999E-2</v>
      </c>
      <c r="L92" s="55"/>
    </row>
    <row r="93" spans="1:16" ht="15.75">
      <c r="A93" s="20">
        <v>2017</v>
      </c>
      <c r="B93" s="20">
        <v>2673.61</v>
      </c>
      <c r="C93" s="58">
        <v>48.93</v>
      </c>
      <c r="D93" s="24">
        <f t="shared" si="2"/>
        <v>1.830109851474224E-2</v>
      </c>
      <c r="E93" s="21">
        <v>2.41E-2</v>
      </c>
      <c r="F93" s="21">
        <f>'[6]T. Bond yield &amp; return'!C98</f>
        <v>2.8017162707789457E-2</v>
      </c>
      <c r="G93" s="47">
        <f>'[6]Moody''s Rates'!C110</f>
        <v>3.5099999999999999E-2</v>
      </c>
      <c r="H93" s="23">
        <f t="shared" si="3"/>
        <v>8.6318282760704329E-2</v>
      </c>
      <c r="I93" s="48">
        <f>'[6]Moody''s Rates'!K110</f>
        <v>4.2199999999999994E-2</v>
      </c>
      <c r="J93" s="49">
        <f t="shared" si="3"/>
        <v>9.7239019462488363E-2</v>
      </c>
      <c r="K93" s="52">
        <v>6.2303199999999996E-2</v>
      </c>
      <c r="L93" s="17"/>
    </row>
    <row r="94" spans="1:16" ht="15.75">
      <c r="A94" s="18">
        <v>2018</v>
      </c>
      <c r="B94" s="18">
        <v>2506.85</v>
      </c>
      <c r="C94" s="59">
        <v>53.75</v>
      </c>
      <c r="D94" s="24">
        <f t="shared" si="2"/>
        <v>2.1441250972335801E-2</v>
      </c>
      <c r="E94" s="17">
        <f>'[6]T. Bond yield &amp; return'!B99</f>
        <v>2.69E-2</v>
      </c>
      <c r="F94" s="21">
        <f>'[6]T. Bond yield &amp; return'!C99</f>
        <v>-1.6692385713402633E-4</v>
      </c>
      <c r="G94" s="47">
        <f>'[6]Moody''s Rates'!C111</f>
        <v>4.0199999999999993E-2</v>
      </c>
      <c r="H94" s="23">
        <f t="shared" si="3"/>
        <v>-6.2244144750959393E-3</v>
      </c>
      <c r="I94" s="48">
        <f>'[6]Moody''s Rates'!K111</f>
        <v>5.1299999999999998E-2</v>
      </c>
      <c r="J94" s="49">
        <f t="shared" si="3"/>
        <v>-2.7626282217172247E-2</v>
      </c>
      <c r="K94" s="52">
        <v>4.5461299999999996E-2</v>
      </c>
      <c r="L94" s="17"/>
    </row>
    <row r="95" spans="1:16" ht="15.75">
      <c r="A95" s="18">
        <v>2019</v>
      </c>
      <c r="B95" s="18">
        <v>3230.78</v>
      </c>
      <c r="C95" s="15">
        <v>58.5</v>
      </c>
      <c r="D95" s="24">
        <f t="shared" si="2"/>
        <v>1.810708250020119E-2</v>
      </c>
      <c r="E95" s="17">
        <v>1.9199999999999998E-2</v>
      </c>
      <c r="F95" s="21">
        <f>'[6]T. Bond yield &amp; return'!C100</f>
        <v>9.6356307415483927E-2</v>
      </c>
      <c r="G95" s="47">
        <f>'[6]Moody''s Rates'!C112</f>
        <v>3.0099999999999998E-2</v>
      </c>
      <c r="H95" s="23">
        <f t="shared" si="3"/>
        <v>0.12631109700279361</v>
      </c>
      <c r="I95" s="48">
        <f>'[6]Moody''s Rates'!K112</f>
        <v>3.8800000000000001E-2</v>
      </c>
      <c r="J95" s="49">
        <f t="shared" si="3"/>
        <v>0.15329457562368487</v>
      </c>
      <c r="K95" s="52">
        <v>4.5461299999999996E-2</v>
      </c>
    </row>
    <row r="96" spans="1:16" ht="15.75">
      <c r="A96" s="18">
        <v>2020</v>
      </c>
      <c r="B96" s="18">
        <v>3756.07</v>
      </c>
      <c r="C96" s="15">
        <v>56.7</v>
      </c>
      <c r="D96" s="24">
        <f t="shared" si="2"/>
        <v>1.5095565311615598E-2</v>
      </c>
      <c r="E96" s="17">
        <v>9.2999999999999992E-3</v>
      </c>
      <c r="F96" s="21">
        <f>'[6]T. Bond yield &amp; return'!C101</f>
        <v>0.1133189764661412</v>
      </c>
      <c r="G96" s="17">
        <v>2.23E-2</v>
      </c>
      <c r="H96" s="23">
        <f t="shared" si="3"/>
        <v>9.9328460007525918E-2</v>
      </c>
      <c r="I96" s="60">
        <v>3.1099999999999999E-2</v>
      </c>
      <c r="J96" s="49">
        <f t="shared" si="3"/>
        <v>0.10411537157111345</v>
      </c>
      <c r="M96" s="14" t="s">
        <v>24</v>
      </c>
    </row>
  </sheetData>
  <printOptions gridLines="1" gridLinesSet="0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287E1-32EC-44B8-9669-4730F1DC09D6}">
  <sheetPr>
    <tabColor rgb="FFFFFFFF"/>
  </sheetPr>
  <dimension ref="A1:U100"/>
  <sheetViews>
    <sheetView tabSelected="1" zoomScaleNormal="100" workbookViewId="0">
      <pane ySplit="9" topLeftCell="A91" activePane="bottomLeft" state="frozenSplit"/>
      <selection pane="bottomLeft"/>
    </sheetView>
  </sheetViews>
  <sheetFormatPr baseColWidth="10" defaultRowHeight="15"/>
  <cols>
    <col min="1" max="1" width="11.42578125" style="8"/>
    <col min="2" max="2" width="2" style="1" customWidth="1"/>
    <col min="3" max="3" width="39.5703125" style="1" bestFit="1" customWidth="1"/>
    <col min="4" max="4" width="7.140625" style="1" customWidth="1"/>
    <col min="5" max="5" width="5" style="37" bestFit="1" customWidth="1"/>
    <col min="6" max="6" width="13.42578125" style="38" bestFit="1" customWidth="1"/>
    <col min="7" max="7" width="22.7109375" style="38" bestFit="1" customWidth="1"/>
    <col min="8" max="8" width="18.7109375" style="38" bestFit="1" customWidth="1"/>
    <col min="9" max="9" width="5.5703125" style="38" customWidth="1"/>
    <col min="10" max="16384" width="11.42578125" style="1"/>
  </cols>
  <sheetData>
    <row r="1" spans="1:21">
      <c r="A1" s="33" t="s">
        <v>13</v>
      </c>
      <c r="F1" s="37"/>
      <c r="G1" s="37"/>
      <c r="H1" s="37"/>
      <c r="I1" s="37"/>
    </row>
    <row r="2" spans="1:21" s="32" customFormat="1">
      <c r="B2" s="1"/>
      <c r="C2" s="1"/>
      <c r="D2" s="1"/>
      <c r="E2" s="37"/>
      <c r="F2" s="37"/>
      <c r="G2" s="37"/>
      <c r="H2" s="37"/>
      <c r="I2" s="3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32" customFormat="1">
      <c r="A3" s="8"/>
      <c r="B3" s="1"/>
      <c r="C3" s="66" t="s">
        <v>31</v>
      </c>
      <c r="D3" s="2"/>
      <c r="E3" s="35" t="s">
        <v>10</v>
      </c>
      <c r="F3" s="35" t="s">
        <v>25</v>
      </c>
      <c r="G3" s="35" t="s">
        <v>26</v>
      </c>
      <c r="H3" s="35" t="s">
        <v>27</v>
      </c>
      <c r="I3" s="3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s="32" customFormat="1">
      <c r="A4" s="8"/>
      <c r="B4" s="1"/>
      <c r="C4" s="36">
        <f>AVERAGE($H$5:$H$97)</f>
        <v>0.11641421697528424</v>
      </c>
      <c r="D4" s="2"/>
      <c r="E4" s="39">
        <f>FuenteTasaLibreDeRiesgo!A8</f>
        <v>1927</v>
      </c>
      <c r="F4" s="61">
        <f>FuenteRendimientoMercado!B3</f>
        <v>17.66</v>
      </c>
      <c r="G4" s="61">
        <f>FuenteRendimientoMercado!C3</f>
        <v>0.61810000000000009</v>
      </c>
      <c r="H4" s="62"/>
      <c r="I4" s="3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s="32" customFormat="1">
      <c r="A5" s="8"/>
      <c r="B5" s="1"/>
      <c r="C5" s="66" t="str">
        <f>TasaLibreDeRiesgo!$C3</f>
        <v>Tasa libre de riesgo (T-Bond; 1928-2020)</v>
      </c>
      <c r="D5" s="1"/>
      <c r="E5" s="39">
        <f>FuenteTasaLibreDeRiesgo!A9</f>
        <v>1928</v>
      </c>
      <c r="F5" s="61">
        <f>FuenteRendimientoMercado!B4</f>
        <v>24.35</v>
      </c>
      <c r="G5" s="61">
        <f>FuenteRendimientoMercado!C4</f>
        <v>1.04705</v>
      </c>
      <c r="H5" s="42">
        <f>(F5-F4+G5)/F4</f>
        <v>0.43811155152887893</v>
      </c>
      <c r="I5" s="3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s="32" customFormat="1">
      <c r="A6" s="8"/>
      <c r="B6" s="1"/>
      <c r="C6" s="36">
        <f>TasaLibreDeRiesgo!$C4</f>
        <v>5.2128747076616674E-2</v>
      </c>
      <c r="D6" s="1"/>
      <c r="E6" s="39">
        <f>FuenteTasaLibreDeRiesgo!A10</f>
        <v>1929</v>
      </c>
      <c r="F6" s="61">
        <f>FuenteRendimientoMercado!B5</f>
        <v>21.45</v>
      </c>
      <c r="G6" s="61">
        <f>FuenteRendimientoMercado!C5</f>
        <v>0.87944999999999995</v>
      </c>
      <c r="H6" s="42">
        <f t="shared" ref="H6:H69" si="0">(F6-F5+G6)/F5</f>
        <v>-8.2979466119096595E-2</v>
      </c>
      <c r="I6" s="3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s="32" customFormat="1">
      <c r="A7" s="8"/>
      <c r="B7" s="1"/>
      <c r="C7" s="66" t="s">
        <v>32</v>
      </c>
      <c r="D7" s="3"/>
      <c r="E7" s="39">
        <f>FuenteTasaLibreDeRiesgo!A11</f>
        <v>1930</v>
      </c>
      <c r="F7" s="61">
        <f>FuenteRendimientoMercado!B6</f>
        <v>15.34</v>
      </c>
      <c r="G7" s="61">
        <f>FuenteRendimientoMercado!C6</f>
        <v>0.72097999999999995</v>
      </c>
      <c r="H7" s="42">
        <f t="shared" si="0"/>
        <v>-0.25123636363636365</v>
      </c>
      <c r="I7" s="3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s="32" customFormat="1">
      <c r="A8" s="8"/>
      <c r="B8" s="1"/>
      <c r="C8" s="36">
        <f>C4-C6</f>
        <v>6.4285469898667569E-2</v>
      </c>
      <c r="D8" s="3"/>
      <c r="E8" s="39">
        <f>FuenteTasaLibreDeRiesgo!A12</f>
        <v>1931</v>
      </c>
      <c r="F8" s="61">
        <f>FuenteRendimientoMercado!B7</f>
        <v>8.1199999999999992</v>
      </c>
      <c r="G8" s="61">
        <f>FuenteRendimientoMercado!C7</f>
        <v>0.49531999999999993</v>
      </c>
      <c r="H8" s="42">
        <f t="shared" si="0"/>
        <v>-0.43837548891786188</v>
      </c>
      <c r="I8" s="3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s="32" customFormat="1">
      <c r="A9" s="8"/>
      <c r="B9" s="1"/>
      <c r="C9" s="1"/>
      <c r="D9" s="1"/>
      <c r="E9" s="39">
        <f>FuenteTasaLibreDeRiesgo!A13</f>
        <v>1932</v>
      </c>
      <c r="F9" s="61">
        <f>FuenteRendimientoMercado!B8</f>
        <v>6.92</v>
      </c>
      <c r="G9" s="61">
        <f>FuenteRendimientoMercado!C8</f>
        <v>0.49823999999999996</v>
      </c>
      <c r="H9" s="42">
        <f t="shared" si="0"/>
        <v>-8.642364532019696E-2</v>
      </c>
      <c r="I9" s="3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s="32" customFormat="1">
      <c r="A10" s="8"/>
      <c r="B10" s="1"/>
      <c r="C10" s="1"/>
      <c r="D10" s="1"/>
      <c r="E10" s="39">
        <f>FuenteTasaLibreDeRiesgo!A14</f>
        <v>1933</v>
      </c>
      <c r="F10" s="61">
        <f>FuenteRendimientoMercado!B9</f>
        <v>9.9700000000000006</v>
      </c>
      <c r="G10" s="61">
        <f>FuenteRendimientoMercado!C9</f>
        <v>0.40877000000000002</v>
      </c>
      <c r="H10" s="42">
        <f t="shared" si="0"/>
        <v>0.49982225433526023</v>
      </c>
      <c r="I10" s="3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s="32" customFormat="1">
      <c r="A11" s="8"/>
      <c r="B11" s="1"/>
      <c r="C11" s="36"/>
      <c r="D11" s="4"/>
      <c r="E11" s="39">
        <f>FuenteTasaLibreDeRiesgo!A15</f>
        <v>1934</v>
      </c>
      <c r="F11" s="61">
        <f>FuenteRendimientoMercado!B10</f>
        <v>9.5</v>
      </c>
      <c r="G11" s="61">
        <f>FuenteRendimientoMercado!C10</f>
        <v>0.35149999999999998</v>
      </c>
      <c r="H11" s="42">
        <f t="shared" si="0"/>
        <v>-1.1885656970912803E-2</v>
      </c>
      <c r="I11" s="3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s="32" customFormat="1">
      <c r="A12" s="8"/>
      <c r="B12" s="1"/>
      <c r="C12" s="1"/>
      <c r="D12" s="1"/>
      <c r="E12" s="39">
        <f>FuenteTasaLibreDeRiesgo!A16</f>
        <v>1935</v>
      </c>
      <c r="F12" s="61">
        <f>FuenteRendimientoMercado!B11</f>
        <v>13.43</v>
      </c>
      <c r="G12" s="61">
        <f>FuenteRendimientoMercado!C11</f>
        <v>0.51034000000000002</v>
      </c>
      <c r="H12" s="42">
        <f t="shared" si="0"/>
        <v>0.46740421052631581</v>
      </c>
      <c r="I12" s="3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s="32" customFormat="1">
      <c r="A13" s="8"/>
      <c r="B13" s="8"/>
      <c r="C13" s="8"/>
      <c r="D13" s="1"/>
      <c r="E13" s="44">
        <f>FuenteTasaLibreDeRiesgo!A17</f>
        <v>1936</v>
      </c>
      <c r="F13" s="61">
        <f>FuenteRendimientoMercado!B12</f>
        <v>17.18</v>
      </c>
      <c r="G13" s="61">
        <f>FuenteRendimientoMercado!C12</f>
        <v>0.54</v>
      </c>
      <c r="H13" s="42">
        <f t="shared" si="0"/>
        <v>0.31943410275502609</v>
      </c>
      <c r="I13" s="3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s="32" customFormat="1">
      <c r="A14" s="8"/>
      <c r="B14" s="8"/>
      <c r="C14" s="7"/>
      <c r="D14" s="1"/>
      <c r="E14" s="39">
        <f>FuenteTasaLibreDeRiesgo!A18</f>
        <v>1937</v>
      </c>
      <c r="F14" s="61">
        <f>FuenteRendimientoMercado!B13</f>
        <v>10.55</v>
      </c>
      <c r="G14" s="61">
        <f>FuenteRendimientoMercado!C13</f>
        <v>0.55915000000000004</v>
      </c>
      <c r="H14" s="42">
        <f t="shared" si="0"/>
        <v>-0.35336728754365537</v>
      </c>
      <c r="I14" s="3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s="32" customFormat="1">
      <c r="A15" s="8"/>
      <c r="B15" s="8"/>
      <c r="C15" s="7"/>
      <c r="D15" s="1"/>
      <c r="E15" s="39">
        <f>FuenteTasaLibreDeRiesgo!A19</f>
        <v>1938</v>
      </c>
      <c r="F15" s="61">
        <f>FuenteRendimientoMercado!B14</f>
        <v>13.14</v>
      </c>
      <c r="G15" s="61">
        <f>FuenteRendimientoMercado!C14</f>
        <v>0.49931999999999999</v>
      </c>
      <c r="H15" s="42">
        <f t="shared" si="0"/>
        <v>0.29282654028436017</v>
      </c>
      <c r="I15" s="3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s="32" customFormat="1">
      <c r="A16" s="8"/>
      <c r="B16" s="1"/>
      <c r="C16" s="7"/>
      <c r="D16" s="1"/>
      <c r="E16" s="39">
        <f>FuenteTasaLibreDeRiesgo!A20</f>
        <v>1939</v>
      </c>
      <c r="F16" s="61">
        <f>FuenteRendimientoMercado!B15</f>
        <v>12.46</v>
      </c>
      <c r="G16" s="61">
        <f>FuenteRendimientoMercado!C15</f>
        <v>0.53578000000000003</v>
      </c>
      <c r="H16" s="42">
        <f t="shared" si="0"/>
        <v>-1.0975646879756443E-2</v>
      </c>
      <c r="I16" s="3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s="32" customFormat="1">
      <c r="A17" s="8"/>
      <c r="B17" s="1"/>
      <c r="C17" s="7"/>
      <c r="D17" s="1"/>
      <c r="E17" s="39">
        <f>FuenteTasaLibreDeRiesgo!A21</f>
        <v>1940</v>
      </c>
      <c r="F17" s="61">
        <f>FuenteRendimientoMercado!B16</f>
        <v>10.58</v>
      </c>
      <c r="G17" s="61">
        <f>FuenteRendimientoMercado!C16</f>
        <v>0.55015999999999998</v>
      </c>
      <c r="H17" s="42">
        <f t="shared" si="0"/>
        <v>-0.10672873194221515</v>
      </c>
      <c r="I17" s="3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s="32" customFormat="1">
      <c r="A18" s="8"/>
      <c r="B18" s="1"/>
      <c r="C18" s="7"/>
      <c r="D18" s="1"/>
      <c r="E18" s="39">
        <f>FuenteTasaLibreDeRiesgo!A22</f>
        <v>1941</v>
      </c>
      <c r="F18" s="61">
        <f>FuenteRendimientoMercado!B17</f>
        <v>8.69</v>
      </c>
      <c r="G18" s="61">
        <f>FuenteRendimientoMercado!C17</f>
        <v>0.53877999999999993</v>
      </c>
      <c r="H18" s="42">
        <f t="shared" si="0"/>
        <v>-0.12771455576559551</v>
      </c>
      <c r="I18" s="3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s="32" customFormat="1">
      <c r="A19" s="8"/>
      <c r="B19" s="1"/>
      <c r="C19" s="7"/>
      <c r="D19" s="1"/>
      <c r="E19" s="39">
        <f>FuenteTasaLibreDeRiesgo!A23</f>
        <v>1942</v>
      </c>
      <c r="F19" s="61">
        <f>FuenteRendimientoMercado!B18</f>
        <v>9.77</v>
      </c>
      <c r="G19" s="61">
        <f>FuenteRendimientoMercado!C18</f>
        <v>0.58619999999999994</v>
      </c>
      <c r="H19" s="42">
        <f t="shared" si="0"/>
        <v>0.19173762945914843</v>
      </c>
      <c r="I19" s="3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s="32" customFormat="1">
      <c r="A20" s="8"/>
      <c r="B20" s="1"/>
      <c r="C20" s="7"/>
      <c r="D20" s="1"/>
      <c r="E20" s="39">
        <f>FuenteTasaLibreDeRiesgo!A24</f>
        <v>1943</v>
      </c>
      <c r="F20" s="61">
        <f>FuenteRendimientoMercado!B19</f>
        <v>11.67</v>
      </c>
      <c r="G20" s="61">
        <f>FuenteRendimientoMercado!C19</f>
        <v>0.54849000000000003</v>
      </c>
      <c r="H20" s="42">
        <f t="shared" si="0"/>
        <v>0.25061310133060394</v>
      </c>
      <c r="I20" s="3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s="32" customFormat="1">
      <c r="A21" s="8"/>
      <c r="B21" s="1"/>
      <c r="C21" s="7"/>
      <c r="D21" s="1"/>
      <c r="E21" s="39">
        <f>FuenteTasaLibreDeRiesgo!A25</f>
        <v>1944</v>
      </c>
      <c r="F21" s="61">
        <f>FuenteRendimientoMercado!B20</f>
        <v>13.28</v>
      </c>
      <c r="G21" s="61">
        <f>FuenteRendimientoMercado!C20</f>
        <v>0.61087999999999998</v>
      </c>
      <c r="H21" s="42">
        <f t="shared" si="0"/>
        <v>0.19030676949443009</v>
      </c>
      <c r="I21" s="3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s="32" customFormat="1">
      <c r="A22" s="8"/>
      <c r="B22" s="1"/>
      <c r="C22" s="1"/>
      <c r="D22" s="1"/>
      <c r="E22" s="39">
        <f>FuenteTasaLibreDeRiesgo!A26</f>
        <v>1945</v>
      </c>
      <c r="F22" s="61">
        <f>FuenteRendimientoMercado!B21</f>
        <v>17.36</v>
      </c>
      <c r="G22" s="61">
        <f>FuenteRendimientoMercado!C21</f>
        <v>0.67703999999999998</v>
      </c>
      <c r="H22" s="42">
        <f t="shared" si="0"/>
        <v>0.35821084337349401</v>
      </c>
      <c r="I22" s="3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s="32" customFormat="1">
      <c r="A23" s="8"/>
      <c r="B23" s="1"/>
      <c r="C23" s="1"/>
      <c r="D23" s="1"/>
      <c r="E23" s="44">
        <f>FuenteTasaLibreDeRiesgo!A27</f>
        <v>1946</v>
      </c>
      <c r="F23" s="61">
        <f>FuenteRendimientoMercado!B22</f>
        <v>15.3</v>
      </c>
      <c r="G23" s="61">
        <f>FuenteRendimientoMercado!C22</f>
        <v>0.59670000000000001</v>
      </c>
      <c r="H23" s="42">
        <f t="shared" si="0"/>
        <v>-8.4291474654377807E-2</v>
      </c>
      <c r="I23" s="3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s="32" customFormat="1">
      <c r="A24" s="8"/>
      <c r="B24" s="1"/>
      <c r="C24" s="1"/>
      <c r="D24" s="1"/>
      <c r="E24" s="39">
        <f>FuenteTasaLibreDeRiesgo!A28</f>
        <v>1947</v>
      </c>
      <c r="F24" s="61">
        <f>FuenteRendimientoMercado!B23</f>
        <v>15.3</v>
      </c>
      <c r="G24" s="61">
        <f>FuenteRendimientoMercado!C23</f>
        <v>0.79559999999999997</v>
      </c>
      <c r="H24" s="42">
        <f t="shared" si="0"/>
        <v>5.1999999999999998E-2</v>
      </c>
      <c r="I24" s="3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s="32" customFormat="1">
      <c r="A25" s="8"/>
      <c r="B25" s="1"/>
      <c r="C25" s="1"/>
      <c r="D25" s="1"/>
      <c r="E25" s="39">
        <f>FuenteTasaLibreDeRiesgo!A29</f>
        <v>1948</v>
      </c>
      <c r="F25" s="61">
        <f>FuenteRendimientoMercado!B24</f>
        <v>15.2</v>
      </c>
      <c r="G25" s="61">
        <f>FuenteRendimientoMercado!C24</f>
        <v>0.9728</v>
      </c>
      <c r="H25" s="42">
        <f t="shared" si="0"/>
        <v>5.7045751633986834E-2</v>
      </c>
      <c r="I25" s="3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s="32" customFormat="1">
      <c r="A26" s="8"/>
      <c r="B26" s="1"/>
      <c r="C26" s="1"/>
      <c r="D26" s="1"/>
      <c r="E26" s="39">
        <f>FuenteTasaLibreDeRiesgo!A30</f>
        <v>1949</v>
      </c>
      <c r="F26" s="61">
        <f>FuenteRendimientoMercado!B25</f>
        <v>16.79</v>
      </c>
      <c r="G26" s="61">
        <f>FuenteRendimientoMercado!C25</f>
        <v>1.1920899999999999</v>
      </c>
      <c r="H26" s="42">
        <f t="shared" si="0"/>
        <v>0.18303223684210526</v>
      </c>
      <c r="I26" s="3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s="32" customFormat="1">
      <c r="A27" s="8"/>
      <c r="B27" s="1"/>
      <c r="C27" s="1"/>
      <c r="D27" s="1"/>
      <c r="E27" s="39">
        <f>FuenteTasaLibreDeRiesgo!A31</f>
        <v>1950</v>
      </c>
      <c r="F27" s="61">
        <f>FuenteRendimientoMercado!B26</f>
        <v>20.43</v>
      </c>
      <c r="G27" s="61">
        <f>FuenteRendimientoMercado!C26</f>
        <v>1.5322499999999999</v>
      </c>
      <c r="H27" s="42">
        <f t="shared" si="0"/>
        <v>0.30805539011316263</v>
      </c>
      <c r="I27" s="3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s="32" customFormat="1">
      <c r="A28" s="8"/>
      <c r="B28" s="1"/>
      <c r="C28" s="1"/>
      <c r="D28" s="1"/>
      <c r="E28" s="39">
        <f>FuenteTasaLibreDeRiesgo!A32</f>
        <v>1951</v>
      </c>
      <c r="F28" s="61">
        <f>FuenteRendimientoMercado!B27</f>
        <v>23.77</v>
      </c>
      <c r="G28" s="61">
        <f>FuenteRendimientoMercado!C27</f>
        <v>1.4975099999999999</v>
      </c>
      <c r="H28" s="42">
        <f t="shared" si="0"/>
        <v>0.23678463044542339</v>
      </c>
      <c r="I28" s="3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s="32" customFormat="1">
      <c r="A29" s="8"/>
      <c r="B29" s="1"/>
      <c r="C29" s="1"/>
      <c r="D29" s="1"/>
      <c r="E29" s="39">
        <f>FuenteTasaLibreDeRiesgo!A33</f>
        <v>1952</v>
      </c>
      <c r="F29" s="61">
        <f>FuenteRendimientoMercado!B28</f>
        <v>26.57</v>
      </c>
      <c r="G29" s="61">
        <f>FuenteRendimientoMercado!C28</f>
        <v>1.5144900000000001</v>
      </c>
      <c r="H29" s="42">
        <f t="shared" si="0"/>
        <v>0.18150988641144306</v>
      </c>
      <c r="I29" s="3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s="32" customFormat="1">
      <c r="A30" s="8"/>
      <c r="B30" s="1"/>
      <c r="C30" s="1"/>
      <c r="D30" s="1"/>
      <c r="E30" s="39">
        <f>FuenteTasaLibreDeRiesgo!A34</f>
        <v>1953</v>
      </c>
      <c r="F30" s="61">
        <f>FuenteRendimientoMercado!B29</f>
        <v>24.81</v>
      </c>
      <c r="G30" s="61">
        <f>FuenteRendimientoMercado!C29</f>
        <v>1.4389799999999999</v>
      </c>
      <c r="H30" s="42">
        <f t="shared" si="0"/>
        <v>-1.2082047421904465E-2</v>
      </c>
      <c r="I30" s="3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s="32" customFormat="1">
      <c r="A31" s="8"/>
      <c r="B31" s="1"/>
      <c r="C31" s="1"/>
      <c r="D31" s="1"/>
      <c r="E31" s="39">
        <f>FuenteTasaLibreDeRiesgo!A35</f>
        <v>1954</v>
      </c>
      <c r="F31" s="61">
        <f>FuenteRendimientoMercado!B30</f>
        <v>35.979999999999997</v>
      </c>
      <c r="G31" s="61">
        <f>FuenteRendimientoMercado!C30</f>
        <v>1.8709599999999997</v>
      </c>
      <c r="H31" s="42">
        <f t="shared" si="0"/>
        <v>0.52563321241434902</v>
      </c>
      <c r="I31" s="37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s="32" customFormat="1">
      <c r="A32" s="8"/>
      <c r="B32" s="1"/>
      <c r="C32" s="1"/>
      <c r="D32" s="1"/>
      <c r="E32" s="39">
        <f>FuenteTasaLibreDeRiesgo!A36</f>
        <v>1955</v>
      </c>
      <c r="F32" s="61">
        <f>FuenteRendimientoMercado!B31</f>
        <v>45.48</v>
      </c>
      <c r="G32" s="61">
        <f>FuenteRendimientoMercado!C31</f>
        <v>2.2285200000000001</v>
      </c>
      <c r="H32" s="42">
        <f t="shared" si="0"/>
        <v>0.32597331851028349</v>
      </c>
      <c r="I32" s="3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s="32" customFormat="1">
      <c r="A33" s="8"/>
      <c r="B33" s="1"/>
      <c r="C33" s="1"/>
      <c r="D33" s="1"/>
      <c r="E33" s="44">
        <f>FuenteTasaLibreDeRiesgo!A37</f>
        <v>1956</v>
      </c>
      <c r="F33" s="61">
        <f>FuenteRendimientoMercado!B32</f>
        <v>46.67</v>
      </c>
      <c r="G33" s="61">
        <f>FuenteRendimientoMercado!C32</f>
        <v>2.1934900000000002</v>
      </c>
      <c r="H33" s="42">
        <f t="shared" si="0"/>
        <v>7.4395118733509347E-2</v>
      </c>
      <c r="I33" s="37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s="32" customFormat="1">
      <c r="A34" s="8"/>
      <c r="B34" s="1"/>
      <c r="C34" s="1"/>
      <c r="D34" s="1"/>
      <c r="E34" s="39">
        <f>FuenteTasaLibreDeRiesgo!A38</f>
        <v>1957</v>
      </c>
      <c r="F34" s="61">
        <f>FuenteRendimientoMercado!B33</f>
        <v>39.99</v>
      </c>
      <c r="G34" s="61">
        <f>FuenteRendimientoMercado!C33</f>
        <v>1.79955</v>
      </c>
      <c r="H34" s="42">
        <f t="shared" si="0"/>
        <v>-0.1045736018855796</v>
      </c>
      <c r="I34" s="3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s="32" customFormat="1">
      <c r="A35" s="8"/>
      <c r="B35" s="1"/>
      <c r="C35" s="1"/>
      <c r="D35" s="1"/>
      <c r="E35" s="39">
        <f>FuenteTasaLibreDeRiesgo!A39</f>
        <v>1958</v>
      </c>
      <c r="F35" s="61">
        <f>FuenteRendimientoMercado!B34</f>
        <v>55.21</v>
      </c>
      <c r="G35" s="61">
        <f>FuenteRendimientoMercado!C34</f>
        <v>2.2636100000000003</v>
      </c>
      <c r="H35" s="42">
        <f t="shared" si="0"/>
        <v>0.43719954988747184</v>
      </c>
      <c r="I35" s="37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s="32" customFormat="1">
      <c r="A36" s="8"/>
      <c r="B36" s="1"/>
      <c r="C36" s="1"/>
      <c r="D36" s="1"/>
      <c r="E36" s="39">
        <f>FuenteTasaLibreDeRiesgo!A40</f>
        <v>1959</v>
      </c>
      <c r="F36" s="61">
        <f>FuenteRendimientoMercado!B35</f>
        <v>59.89</v>
      </c>
      <c r="G36" s="61">
        <f>FuenteRendimientoMercado!C35</f>
        <v>1.9763700000000002</v>
      </c>
      <c r="H36" s="42">
        <f t="shared" si="0"/>
        <v>0.12056457163557326</v>
      </c>
      <c r="I36" s="37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s="32" customFormat="1">
      <c r="A37" s="8"/>
      <c r="B37" s="1"/>
      <c r="C37" s="1"/>
      <c r="D37" s="1"/>
      <c r="E37" s="39">
        <f>FuenteTasaLibreDeRiesgo!A41</f>
        <v>1960</v>
      </c>
      <c r="F37" s="61">
        <f>FuenteRendimientoMercado!B36</f>
        <v>58.11</v>
      </c>
      <c r="G37" s="61">
        <f>FuenteRendimientoMercado!C36</f>
        <v>1.9815510000000001</v>
      </c>
      <c r="H37" s="42">
        <f t="shared" si="0"/>
        <v>3.36535314743695E-3</v>
      </c>
      <c r="I37" s="3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s="32" customFormat="1">
      <c r="A38" s="8"/>
      <c r="B38" s="1"/>
      <c r="C38" s="1"/>
      <c r="D38" s="1"/>
      <c r="E38" s="39">
        <f>FuenteTasaLibreDeRiesgo!A42</f>
        <v>1961</v>
      </c>
      <c r="F38" s="61">
        <f>FuenteRendimientoMercado!B37</f>
        <v>71.55</v>
      </c>
      <c r="G38" s="61">
        <f>FuenteRendimientoMercado!C37</f>
        <v>2.0391750000000002</v>
      </c>
      <c r="H38" s="42">
        <f t="shared" si="0"/>
        <v>0.26637712958182752</v>
      </c>
      <c r="I38" s="37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s="32" customFormat="1">
      <c r="A39" s="8"/>
      <c r="B39" s="1"/>
      <c r="C39" s="1"/>
      <c r="D39" s="1"/>
      <c r="E39" s="39">
        <f>FuenteTasaLibreDeRiesgo!A43</f>
        <v>1962</v>
      </c>
      <c r="F39" s="61">
        <f>FuenteRendimientoMercado!B38</f>
        <v>63.1</v>
      </c>
      <c r="G39" s="61">
        <f>FuenteRendimientoMercado!C38</f>
        <v>2.1454</v>
      </c>
      <c r="H39" s="42">
        <f t="shared" si="0"/>
        <v>-8.8114605171208879E-2</v>
      </c>
      <c r="I39" s="37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s="32" customFormat="1">
      <c r="A40" s="8"/>
      <c r="B40" s="1"/>
      <c r="C40" s="1"/>
      <c r="D40" s="1"/>
      <c r="E40" s="39">
        <f>FuenteTasaLibreDeRiesgo!A44</f>
        <v>1963</v>
      </c>
      <c r="F40" s="61">
        <f>FuenteRendimientoMercado!B39</f>
        <v>75.02</v>
      </c>
      <c r="G40" s="61">
        <f>FuenteRendimientoMercado!C39</f>
        <v>2.3481260000000002</v>
      </c>
      <c r="H40" s="42">
        <f t="shared" si="0"/>
        <v>0.22611927099841514</v>
      </c>
      <c r="I40" s="3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s="32" customFormat="1">
      <c r="A41" s="8"/>
      <c r="B41" s="1"/>
      <c r="C41" s="1"/>
      <c r="D41" s="1"/>
      <c r="E41" s="39">
        <f>FuenteTasaLibreDeRiesgo!A45</f>
        <v>1964</v>
      </c>
      <c r="F41" s="61">
        <f>FuenteRendimientoMercado!B40</f>
        <v>84.75</v>
      </c>
      <c r="G41" s="61">
        <f>FuenteRendimientoMercado!C40</f>
        <v>2.5848749999999998</v>
      </c>
      <c r="H41" s="42">
        <f t="shared" si="0"/>
        <v>0.16415455878432425</v>
      </c>
      <c r="I41" s="3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s="32" customFormat="1">
      <c r="A42" s="8"/>
      <c r="B42" s="1"/>
      <c r="C42" s="1"/>
      <c r="D42" s="1"/>
      <c r="E42" s="39">
        <f>FuenteTasaLibreDeRiesgo!A46</f>
        <v>1965</v>
      </c>
      <c r="F42" s="61">
        <f>FuenteRendimientoMercado!B41</f>
        <v>92.43</v>
      </c>
      <c r="G42" s="61">
        <f>FuenteRendimientoMercado!C41</f>
        <v>2.8283580000000001</v>
      </c>
      <c r="H42" s="42">
        <f t="shared" si="0"/>
        <v>0.12399242477876114</v>
      </c>
      <c r="I42" s="37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s="32" customFormat="1">
      <c r="A43" s="8"/>
      <c r="B43" s="1"/>
      <c r="C43" s="1"/>
      <c r="D43" s="1"/>
      <c r="E43" s="44">
        <f>FuenteTasaLibreDeRiesgo!A47</f>
        <v>1966</v>
      </c>
      <c r="F43" s="61">
        <f>FuenteRendimientoMercado!B42</f>
        <v>80.33</v>
      </c>
      <c r="G43" s="61">
        <f>FuenteRendimientoMercado!C42</f>
        <v>2.8838469999999998</v>
      </c>
      <c r="H43" s="42">
        <f t="shared" si="0"/>
        <v>-9.9709542356377898E-2</v>
      </c>
      <c r="I43" s="37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s="32" customFormat="1">
      <c r="A44" s="8"/>
      <c r="B44" s="1"/>
      <c r="C44" s="1"/>
      <c r="D44" s="1"/>
      <c r="E44" s="39">
        <f>FuenteTasaLibreDeRiesgo!A48</f>
        <v>1967</v>
      </c>
      <c r="F44" s="61">
        <f>FuenteRendimientoMercado!B43</f>
        <v>96.47</v>
      </c>
      <c r="G44" s="61">
        <f>FuenteRendimientoMercado!C43</f>
        <v>2.9809230000000002</v>
      </c>
      <c r="H44" s="42">
        <f t="shared" si="0"/>
        <v>0.23802966513133328</v>
      </c>
      <c r="I44" s="37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s="32" customFormat="1">
      <c r="A45" s="8"/>
      <c r="B45" s="1"/>
      <c r="C45" s="1"/>
      <c r="D45" s="1"/>
      <c r="E45" s="39">
        <f>FuenteTasaLibreDeRiesgo!A49</f>
        <v>1968</v>
      </c>
      <c r="F45" s="61">
        <f>FuenteRendimientoMercado!B44</f>
        <v>103.86</v>
      </c>
      <c r="G45" s="61">
        <f>FuenteRendimientoMercado!C44</f>
        <v>3.0430980000000001</v>
      </c>
      <c r="H45" s="42">
        <f t="shared" si="0"/>
        <v>0.10814862651601535</v>
      </c>
      <c r="I45" s="37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s="32" customFormat="1">
      <c r="A46" s="8"/>
      <c r="B46" s="1"/>
      <c r="C46" s="1"/>
      <c r="D46" s="1"/>
      <c r="E46" s="39">
        <f>FuenteTasaLibreDeRiesgo!A50</f>
        <v>1969</v>
      </c>
      <c r="F46" s="61">
        <f>FuenteRendimientoMercado!B45</f>
        <v>92.06</v>
      </c>
      <c r="G46" s="61">
        <f>FuenteRendimientoMercado!C45</f>
        <v>3.2405119999999998</v>
      </c>
      <c r="H46" s="42">
        <f t="shared" si="0"/>
        <v>-8.2413710764490639E-2</v>
      </c>
      <c r="I46" s="37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s="32" customFormat="1">
      <c r="A47" s="8"/>
      <c r="B47" s="1"/>
      <c r="C47" s="1"/>
      <c r="D47" s="1"/>
      <c r="E47" s="39">
        <f>FuenteTasaLibreDeRiesgo!A51</f>
        <v>1970</v>
      </c>
      <c r="F47" s="61">
        <f>FuenteRendimientoMercado!B46</f>
        <v>92.15</v>
      </c>
      <c r="G47" s="61">
        <f>FuenteRendimientoMercado!C46</f>
        <v>3.1883900000000001</v>
      </c>
      <c r="H47" s="42">
        <f t="shared" si="0"/>
        <v>3.5611449054964189E-2</v>
      </c>
      <c r="I47" s="37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s="32" customFormat="1">
      <c r="A48" s="8"/>
      <c r="B48" s="1"/>
      <c r="C48" s="1"/>
      <c r="D48" s="1"/>
      <c r="E48" s="39">
        <f>FuenteTasaLibreDeRiesgo!A52</f>
        <v>1971</v>
      </c>
      <c r="F48" s="61">
        <f>FuenteRendimientoMercado!B47</f>
        <v>102.09</v>
      </c>
      <c r="G48" s="61">
        <f>FuenteRendimientoMercado!C47</f>
        <v>3.16479</v>
      </c>
      <c r="H48" s="42">
        <f t="shared" si="0"/>
        <v>0.14221150298426474</v>
      </c>
      <c r="I48" s="3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s="32" customFormat="1">
      <c r="A49" s="8"/>
      <c r="B49" s="1"/>
      <c r="C49" s="1"/>
      <c r="D49" s="1"/>
      <c r="E49" s="39">
        <f>FuenteTasaLibreDeRiesgo!A53</f>
        <v>1972</v>
      </c>
      <c r="F49" s="61">
        <f>FuenteRendimientoMercado!B48</f>
        <v>118.05</v>
      </c>
      <c r="G49" s="61">
        <f>FuenteRendimientoMercado!C48</f>
        <v>3.1873499999999999</v>
      </c>
      <c r="H49" s="42">
        <f t="shared" si="0"/>
        <v>0.18755362915074925</v>
      </c>
      <c r="I49" s="3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s="32" customFormat="1">
      <c r="A50" s="8"/>
      <c r="B50" s="1"/>
      <c r="C50" s="1"/>
      <c r="D50" s="1"/>
      <c r="E50" s="39">
        <f>FuenteTasaLibreDeRiesgo!A54</f>
        <v>1973</v>
      </c>
      <c r="F50" s="61">
        <f>FuenteRendimientoMercado!B49</f>
        <v>97.55</v>
      </c>
      <c r="G50" s="61">
        <f>FuenteRendimientoMercado!C49</f>
        <v>3.6093500000000001</v>
      </c>
      <c r="H50" s="42">
        <f t="shared" si="0"/>
        <v>-0.14308047437526472</v>
      </c>
      <c r="I50" s="37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s="32" customFormat="1">
      <c r="A51" s="8"/>
      <c r="B51" s="1"/>
      <c r="C51" s="1"/>
      <c r="D51" s="1"/>
      <c r="E51" s="39">
        <f>FuenteTasaLibreDeRiesgo!A55</f>
        <v>1974</v>
      </c>
      <c r="F51" s="61">
        <f>FuenteRendimientoMercado!B50</f>
        <v>68.56</v>
      </c>
      <c r="G51" s="61">
        <f>FuenteRendimientoMercado!C50</f>
        <v>3.7228080000000001</v>
      </c>
      <c r="H51" s="42">
        <f t="shared" si="0"/>
        <v>-0.25901785750896972</v>
      </c>
      <c r="I51" s="3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s="32" customFormat="1">
      <c r="A52" s="8"/>
      <c r="B52" s="1"/>
      <c r="C52" s="1"/>
      <c r="D52" s="1"/>
      <c r="E52" s="39">
        <f>FuenteTasaLibreDeRiesgo!A56</f>
        <v>1975</v>
      </c>
      <c r="F52" s="61">
        <f>FuenteRendimientoMercado!B51</f>
        <v>90.19</v>
      </c>
      <c r="G52" s="61">
        <f>FuenteRendimientoMercado!C51</f>
        <v>3.7338659999999999</v>
      </c>
      <c r="H52" s="42">
        <f t="shared" si="0"/>
        <v>0.36995137106184356</v>
      </c>
      <c r="I52" s="3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s="32" customFormat="1">
      <c r="A53" s="8"/>
      <c r="B53" s="1"/>
      <c r="C53" s="1"/>
      <c r="D53" s="1"/>
      <c r="E53" s="44">
        <f>FuenteTasaLibreDeRiesgo!A57</f>
        <v>1976</v>
      </c>
      <c r="F53" s="61">
        <f>FuenteRendimientoMercado!B52</f>
        <v>107.46</v>
      </c>
      <c r="G53" s="61">
        <f>FuenteRendimientoMercado!C52</f>
        <v>4.2231779999999999</v>
      </c>
      <c r="H53" s="42">
        <f t="shared" si="0"/>
        <v>0.23830999002106662</v>
      </c>
      <c r="I53" s="3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s="32" customFormat="1">
      <c r="A54" s="8"/>
      <c r="B54" s="1"/>
      <c r="C54" s="1"/>
      <c r="D54" s="1"/>
      <c r="E54" s="39">
        <f>FuenteTasaLibreDeRiesgo!A58</f>
        <v>1977</v>
      </c>
      <c r="F54" s="61">
        <f>FuenteRendimientoMercado!B53</f>
        <v>95.1</v>
      </c>
      <c r="G54" s="61">
        <f>FuenteRendimientoMercado!C53</f>
        <v>4.85961</v>
      </c>
      <c r="H54" s="42">
        <f t="shared" si="0"/>
        <v>-6.9797040759352322E-2</v>
      </c>
      <c r="I54" s="3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s="32" customFormat="1">
      <c r="A55" s="8"/>
      <c r="B55" s="1"/>
      <c r="C55" s="1"/>
      <c r="D55" s="1"/>
      <c r="E55" s="39">
        <f>FuenteTasaLibreDeRiesgo!A59</f>
        <v>1978</v>
      </c>
      <c r="F55" s="61">
        <f>FuenteRendimientoMercado!B54</f>
        <v>96.11</v>
      </c>
      <c r="G55" s="61">
        <f>FuenteRendimientoMercado!C54</f>
        <v>5.1803290000000004</v>
      </c>
      <c r="H55" s="42">
        <f t="shared" si="0"/>
        <v>6.50928391167193E-2</v>
      </c>
      <c r="I55" s="3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s="32" customFormat="1">
      <c r="A56" s="8"/>
      <c r="B56" s="1"/>
      <c r="C56" s="1"/>
      <c r="D56" s="1"/>
      <c r="E56" s="39">
        <f>FuenteTasaLibreDeRiesgo!A60</f>
        <v>1979</v>
      </c>
      <c r="F56" s="61">
        <f>FuenteRendimientoMercado!B55</f>
        <v>107.94</v>
      </c>
      <c r="G56" s="61">
        <f>FuenteRendimientoMercado!C55</f>
        <v>5.9690820000000002</v>
      </c>
      <c r="H56" s="42">
        <f t="shared" si="0"/>
        <v>0.18519490167516386</v>
      </c>
      <c r="I56" s="3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s="32" customFormat="1">
      <c r="A57" s="8"/>
      <c r="B57" s="1"/>
      <c r="C57" s="1"/>
      <c r="D57" s="1"/>
      <c r="E57" s="39">
        <f>FuenteTasaLibreDeRiesgo!A61</f>
        <v>1980</v>
      </c>
      <c r="F57" s="61">
        <f>FuenteRendimientoMercado!B56</f>
        <v>135.76</v>
      </c>
      <c r="G57" s="61">
        <f>FuenteRendimientoMercado!C56</f>
        <v>6.4350240000000003</v>
      </c>
      <c r="H57" s="42">
        <f t="shared" si="0"/>
        <v>0.3173524550676301</v>
      </c>
      <c r="I57" s="3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s="32" customFormat="1">
      <c r="A58" s="8"/>
      <c r="B58" s="1"/>
      <c r="C58" s="1"/>
      <c r="D58" s="1"/>
      <c r="E58" s="39">
        <f>FuenteTasaLibreDeRiesgo!A62</f>
        <v>1981</v>
      </c>
      <c r="F58" s="61">
        <f>FuenteRendimientoMercado!B57</f>
        <v>122.55</v>
      </c>
      <c r="G58" s="61">
        <f>FuenteRendimientoMercado!C57</f>
        <v>6.8260350000000001</v>
      </c>
      <c r="H58" s="42">
        <f t="shared" si="0"/>
        <v>-4.7023902474955762E-2</v>
      </c>
      <c r="I58" s="3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s="32" customFormat="1">
      <c r="A59" s="8"/>
      <c r="B59" s="1"/>
      <c r="C59" s="1"/>
      <c r="D59" s="1"/>
      <c r="E59" s="39">
        <f>FuenteTasaLibreDeRiesgo!A63</f>
        <v>1982</v>
      </c>
      <c r="F59" s="61">
        <f>FuenteRendimientoMercado!B58</f>
        <v>140.63999999999999</v>
      </c>
      <c r="G59" s="61">
        <f>FuenteRendimientoMercado!C58</f>
        <v>6.9335519999999997</v>
      </c>
      <c r="H59" s="42">
        <f t="shared" si="0"/>
        <v>0.20419055079559353</v>
      </c>
      <c r="I59" s="3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s="32" customFormat="1">
      <c r="A60" s="8"/>
      <c r="B60" s="1"/>
      <c r="C60" s="1"/>
      <c r="D60" s="1"/>
      <c r="E60" s="39">
        <f>FuenteTasaLibreDeRiesgo!A64</f>
        <v>1983</v>
      </c>
      <c r="F60" s="61">
        <f>FuenteRendimientoMercado!B59</f>
        <v>164.93</v>
      </c>
      <c r="G60" s="61">
        <f>FuenteRendimientoMercado!C59</f>
        <v>7.1249760000000002</v>
      </c>
      <c r="H60" s="42">
        <f t="shared" si="0"/>
        <v>0.22337155858930619</v>
      </c>
      <c r="I60" s="3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s="32" customFormat="1">
      <c r="A61" s="8"/>
      <c r="B61" s="1"/>
      <c r="C61" s="1"/>
      <c r="D61" s="1"/>
      <c r="E61" s="39">
        <f>FuenteTasaLibreDeRiesgo!A65</f>
        <v>1984</v>
      </c>
      <c r="F61" s="61">
        <f>FuenteRendimientoMercado!B60</f>
        <v>167.24</v>
      </c>
      <c r="G61" s="61">
        <f>FuenteRendimientoMercado!C60</f>
        <v>7.8268319999999996</v>
      </c>
      <c r="H61" s="42">
        <f t="shared" si="0"/>
        <v>6.14614199963621E-2</v>
      </c>
      <c r="I61" s="3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s="32" customFormat="1">
      <c r="A62" s="8"/>
      <c r="B62" s="1"/>
      <c r="C62" s="1"/>
      <c r="D62" s="1"/>
      <c r="E62" s="39">
        <f>FuenteTasaLibreDeRiesgo!A66</f>
        <v>1985</v>
      </c>
      <c r="F62" s="61">
        <f>FuenteRendimientoMercado!B61</f>
        <v>211.28</v>
      </c>
      <c r="G62" s="61">
        <f>FuenteRendimientoMercado!C61</f>
        <v>8.1976639999999996</v>
      </c>
      <c r="H62" s="42">
        <f t="shared" si="0"/>
        <v>0.31235149485768948</v>
      </c>
      <c r="I62" s="37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s="32" customFormat="1">
      <c r="A63" s="8"/>
      <c r="B63" s="1"/>
      <c r="C63" s="1"/>
      <c r="D63" s="1"/>
      <c r="E63" s="44">
        <f>FuenteTasaLibreDeRiesgo!A67</f>
        <v>1986</v>
      </c>
      <c r="F63" s="61">
        <f>FuenteRendimientoMercado!B62</f>
        <v>242.17</v>
      </c>
      <c r="G63" s="61">
        <f>FuenteRendimientoMercado!C62</f>
        <v>8.1853459999999991</v>
      </c>
      <c r="H63" s="42">
        <f t="shared" si="0"/>
        <v>0.18494578758046187</v>
      </c>
      <c r="I63" s="3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s="32" customFormat="1">
      <c r="A64" s="8"/>
      <c r="B64" s="1"/>
      <c r="C64" s="1"/>
      <c r="D64" s="1"/>
      <c r="E64" s="39">
        <f>FuenteTasaLibreDeRiesgo!A68</f>
        <v>1987</v>
      </c>
      <c r="F64" s="61">
        <f>FuenteRendimientoMercado!B63</f>
        <v>247.08</v>
      </c>
      <c r="G64" s="61">
        <f>FuenteRendimientoMercado!C63</f>
        <v>9.1666679999999996</v>
      </c>
      <c r="H64" s="42">
        <f t="shared" si="0"/>
        <v>5.8127216418218712E-2</v>
      </c>
      <c r="I64" s="3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s="32" customFormat="1">
      <c r="A65" s="8"/>
      <c r="B65" s="1"/>
      <c r="C65" s="1"/>
      <c r="D65" s="1"/>
      <c r="E65" s="39">
        <f>FuenteTasaLibreDeRiesgo!A69</f>
        <v>1988</v>
      </c>
      <c r="F65" s="61">
        <f>FuenteRendimientoMercado!B64</f>
        <v>277.72000000000003</v>
      </c>
      <c r="G65" s="61">
        <f>FuenteRendimientoMercado!C64</f>
        <v>10.220096</v>
      </c>
      <c r="H65" s="42">
        <f t="shared" si="0"/>
        <v>0.16537192812044688</v>
      </c>
      <c r="I65" s="3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s="32" customFormat="1">
      <c r="A66" s="8"/>
      <c r="B66" s="1"/>
      <c r="C66" s="1"/>
      <c r="D66" s="1"/>
      <c r="E66" s="39">
        <f>FuenteTasaLibreDeRiesgo!A70</f>
        <v>1989</v>
      </c>
      <c r="F66" s="61">
        <f>FuenteRendimientoMercado!B65</f>
        <v>353.4</v>
      </c>
      <c r="G66" s="61">
        <f>FuenteRendimientoMercado!C65</f>
        <v>11.73288</v>
      </c>
      <c r="H66" s="42">
        <f t="shared" si="0"/>
        <v>0.31475183638196724</v>
      </c>
      <c r="I66" s="3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s="32" customFormat="1">
      <c r="A67" s="8"/>
      <c r="B67" s="1"/>
      <c r="C67" s="1"/>
      <c r="D67" s="1"/>
      <c r="E67" s="39">
        <f>FuenteTasaLibreDeRiesgo!A71</f>
        <v>1990</v>
      </c>
      <c r="F67" s="61">
        <f>FuenteRendimientoMercado!B66</f>
        <v>330.22</v>
      </c>
      <c r="G67" s="61">
        <f>FuenteRendimientoMercado!C66</f>
        <v>12.350228</v>
      </c>
      <c r="H67" s="42">
        <f t="shared" si="0"/>
        <v>-3.0644516129032118E-2</v>
      </c>
      <c r="I67" s="3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s="32" customFormat="1">
      <c r="A68" s="8"/>
      <c r="B68" s="1"/>
      <c r="C68" s="1"/>
      <c r="D68" s="1"/>
      <c r="E68" s="39">
        <f>FuenteTasaLibreDeRiesgo!A72</f>
        <v>1991</v>
      </c>
      <c r="F68" s="61">
        <f>FuenteRendimientoMercado!B67</f>
        <v>417.09</v>
      </c>
      <c r="G68" s="61">
        <f>FuenteRendimientoMercado!C67</f>
        <v>12.971499</v>
      </c>
      <c r="H68" s="42">
        <f t="shared" si="0"/>
        <v>0.30234843134879757</v>
      </c>
      <c r="I68" s="37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s="32" customFormat="1">
      <c r="A69" s="8"/>
      <c r="B69" s="1"/>
      <c r="C69" s="1"/>
      <c r="D69" s="1"/>
      <c r="E69" s="39">
        <f>FuenteTasaLibreDeRiesgo!A73</f>
        <v>1992</v>
      </c>
      <c r="F69" s="61">
        <f>FuenteRendimientoMercado!B68</f>
        <v>435.71</v>
      </c>
      <c r="G69" s="61">
        <f>FuenteRendimientoMercado!C68</f>
        <v>12.635590000000001</v>
      </c>
      <c r="H69" s="42">
        <f t="shared" si="0"/>
        <v>7.493727972380064E-2</v>
      </c>
      <c r="I69" s="37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s="32" customFormat="1">
      <c r="A70" s="8"/>
      <c r="B70" s="1"/>
      <c r="C70" s="1"/>
      <c r="D70" s="1"/>
      <c r="E70" s="39">
        <f>FuenteTasaLibreDeRiesgo!A74</f>
        <v>1993</v>
      </c>
      <c r="F70" s="61">
        <f>FuenteRendimientoMercado!B69</f>
        <v>466.45</v>
      </c>
      <c r="G70" s="61">
        <f>FuenteRendimientoMercado!C69</f>
        <v>12.68744</v>
      </c>
      <c r="H70" s="42">
        <f t="shared" ref="H70:H97" si="1">(F70-F69+G70)/F69</f>
        <v>9.96705147919488E-2</v>
      </c>
      <c r="I70" s="37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s="32" customFormat="1">
      <c r="A71" s="8"/>
      <c r="B71" s="1"/>
      <c r="C71" s="1"/>
      <c r="D71" s="1"/>
      <c r="E71" s="39">
        <f>FuenteTasaLibreDeRiesgo!A75</f>
        <v>1994</v>
      </c>
      <c r="F71" s="61">
        <f>FuenteRendimientoMercado!B70</f>
        <v>459.27</v>
      </c>
      <c r="G71" s="61">
        <f>FuenteRendimientoMercado!C70</f>
        <v>13.364757000000001</v>
      </c>
      <c r="H71" s="42">
        <f t="shared" si="1"/>
        <v>1.3259206774573897E-2</v>
      </c>
      <c r="I71" s="3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s="32" customFormat="1">
      <c r="A72" s="8"/>
      <c r="B72" s="1"/>
      <c r="C72" s="1"/>
      <c r="D72" s="1"/>
      <c r="E72" s="39">
        <f>FuenteTasaLibreDeRiesgo!A76</f>
        <v>1995</v>
      </c>
      <c r="F72" s="61">
        <f>FuenteRendimientoMercado!B71</f>
        <v>615.92999999999995</v>
      </c>
      <c r="G72" s="61">
        <f>FuenteRendimientoMercado!C71</f>
        <v>14.16639</v>
      </c>
      <c r="H72" s="42">
        <f t="shared" si="1"/>
        <v>0.37195198902606308</v>
      </c>
      <c r="I72" s="37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s="32" customFormat="1">
      <c r="A73" s="8"/>
      <c r="B73" s="1"/>
      <c r="C73" s="1"/>
      <c r="D73" s="1"/>
      <c r="E73" s="44">
        <f>FuenteTasaLibreDeRiesgo!A77</f>
        <v>1996</v>
      </c>
      <c r="F73" s="61">
        <f>FuenteRendimientoMercado!B72</f>
        <v>740.74</v>
      </c>
      <c r="G73" s="61">
        <f>FuenteRendimientoMercado!C72</f>
        <v>14.888873999999999</v>
      </c>
      <c r="H73" s="42">
        <f t="shared" si="1"/>
        <v>0.22680966018865789</v>
      </c>
      <c r="I73" s="3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s="32" customFormat="1">
      <c r="A74" s="8"/>
      <c r="B74" s="1"/>
      <c r="C74" s="1"/>
      <c r="D74" s="1"/>
      <c r="E74" s="39">
        <f>FuenteTasaLibreDeRiesgo!A78</f>
        <v>1997</v>
      </c>
      <c r="F74" s="61">
        <f>FuenteRendimientoMercado!B73</f>
        <v>970.43</v>
      </c>
      <c r="G74" s="61">
        <f>FuenteRendimientoMercado!C73</f>
        <v>15.522</v>
      </c>
      <c r="H74" s="42">
        <f t="shared" si="1"/>
        <v>0.33103653103653097</v>
      </c>
      <c r="I74" s="37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s="32" customFormat="1">
      <c r="A75" s="8"/>
      <c r="B75" s="1"/>
      <c r="C75" s="1"/>
      <c r="D75" s="1"/>
      <c r="E75" s="39">
        <f>FuenteTasaLibreDeRiesgo!A79</f>
        <v>1998</v>
      </c>
      <c r="F75" s="61">
        <f>FuenteRendimientoMercado!B74</f>
        <v>1229.23</v>
      </c>
      <c r="G75" s="61">
        <f>FuenteRendimientoMercado!C74</f>
        <v>16.2</v>
      </c>
      <c r="H75" s="42">
        <f t="shared" si="1"/>
        <v>0.28337953278443584</v>
      </c>
      <c r="I75" s="37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s="32" customFormat="1">
      <c r="A76" s="8"/>
      <c r="B76" s="1"/>
      <c r="C76" s="1"/>
      <c r="D76" s="1"/>
      <c r="E76" s="39">
        <f>FuenteTasaLibreDeRiesgo!A80</f>
        <v>1999</v>
      </c>
      <c r="F76" s="61">
        <f>FuenteRendimientoMercado!B75</f>
        <v>1469.25</v>
      </c>
      <c r="G76" s="61">
        <f>FuenteRendimientoMercado!C75</f>
        <v>16.709</v>
      </c>
      <c r="H76" s="42">
        <f t="shared" si="1"/>
        <v>0.20885350992084475</v>
      </c>
      <c r="I76" s="37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s="32" customFormat="1">
      <c r="A77" s="8"/>
      <c r="B77" s="1"/>
      <c r="C77" s="1"/>
      <c r="D77" s="1"/>
      <c r="E77" s="39">
        <f>FuenteTasaLibreDeRiesgo!A81</f>
        <v>2000</v>
      </c>
      <c r="F77" s="61">
        <f>FuenteRendimientoMercado!B76</f>
        <v>1320.28</v>
      </c>
      <c r="G77" s="61">
        <f>FuenteRendimientoMercado!C76</f>
        <v>16.27</v>
      </c>
      <c r="H77" s="42">
        <f t="shared" si="1"/>
        <v>-9.0318189552492781E-2</v>
      </c>
      <c r="I77" s="37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s="32" customFormat="1">
      <c r="A78" s="8"/>
      <c r="B78" s="1"/>
      <c r="C78" s="1"/>
      <c r="D78" s="1"/>
      <c r="E78" s="39">
        <f>FuenteTasaLibreDeRiesgo!A82</f>
        <v>2001</v>
      </c>
      <c r="F78" s="61">
        <f>FuenteRendimientoMercado!B77</f>
        <v>1148.0899999999999</v>
      </c>
      <c r="G78" s="61">
        <f>FuenteRendimientoMercado!C77</f>
        <v>15.74</v>
      </c>
      <c r="H78" s="42">
        <f t="shared" si="1"/>
        <v>-0.11849759142000185</v>
      </c>
      <c r="I78" s="37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s="32" customFormat="1">
      <c r="A79" s="8"/>
      <c r="B79" s="1"/>
      <c r="C79" s="1"/>
      <c r="D79" s="1"/>
      <c r="E79" s="39">
        <f>FuenteTasaLibreDeRiesgo!A83</f>
        <v>2002</v>
      </c>
      <c r="F79" s="61">
        <f>FuenteRendimientoMercado!B78</f>
        <v>879.82</v>
      </c>
      <c r="G79" s="61">
        <f>FuenteRendimientoMercado!C78</f>
        <v>16.079999999999998</v>
      </c>
      <c r="H79" s="42">
        <f t="shared" si="1"/>
        <v>-0.21966047957912699</v>
      </c>
      <c r="I79" s="37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s="32" customFormat="1">
      <c r="A80" s="8"/>
      <c r="B80" s="1"/>
      <c r="C80" s="1"/>
      <c r="D80" s="1"/>
      <c r="E80" s="39">
        <f>FuenteTasaLibreDeRiesgo!A84</f>
        <v>2003</v>
      </c>
      <c r="F80" s="61">
        <f>FuenteRendimientoMercado!B79</f>
        <v>1111.9100000000001</v>
      </c>
      <c r="G80" s="61">
        <f>FuenteRendimientoMercado!C79</f>
        <v>17.39</v>
      </c>
      <c r="H80" s="42">
        <f t="shared" si="1"/>
        <v>0.28355800050010233</v>
      </c>
      <c r="I80" s="37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s="32" customFormat="1">
      <c r="A81" s="8"/>
      <c r="B81" s="1"/>
      <c r="C81" s="1"/>
      <c r="D81" s="1"/>
      <c r="E81" s="39">
        <f>FuenteTasaLibreDeRiesgo!A85</f>
        <v>2004</v>
      </c>
      <c r="F81" s="61">
        <f>FuenteRendimientoMercado!B80</f>
        <v>1211.92</v>
      </c>
      <c r="G81" s="61">
        <f>FuenteRendimientoMercado!C80</f>
        <v>19.440000000000001</v>
      </c>
      <c r="H81" s="42">
        <f t="shared" si="1"/>
        <v>0.10742775944096193</v>
      </c>
      <c r="I81" s="37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s="32" customFormat="1">
      <c r="A82" s="8"/>
      <c r="B82" s="1"/>
      <c r="C82" s="1"/>
      <c r="D82" s="1"/>
      <c r="E82" s="39">
        <f>FuenteTasaLibreDeRiesgo!A86</f>
        <v>2005</v>
      </c>
      <c r="F82" s="61">
        <f>FuenteRendimientoMercado!B81</f>
        <v>1248.29</v>
      </c>
      <c r="G82" s="61">
        <f>FuenteRendimientoMercado!C81</f>
        <v>22.22</v>
      </c>
      <c r="H82" s="42">
        <f t="shared" si="1"/>
        <v>4.8344775232688535E-2</v>
      </c>
      <c r="I82" s="37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s="32" customFormat="1">
      <c r="A83" s="8"/>
      <c r="B83" s="1"/>
      <c r="C83" s="1"/>
      <c r="D83" s="1"/>
      <c r="E83" s="44">
        <f>FuenteTasaLibreDeRiesgo!A87</f>
        <v>2006</v>
      </c>
      <c r="F83" s="61">
        <f>FuenteRendimientoMercado!B82</f>
        <v>1418.3</v>
      </c>
      <c r="G83" s="61">
        <f>FuenteRendimientoMercado!C82</f>
        <v>24.88</v>
      </c>
      <c r="H83" s="42">
        <f t="shared" si="1"/>
        <v>0.15612557979315703</v>
      </c>
      <c r="I83" s="3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s="32" customFormat="1">
      <c r="A84" s="8"/>
      <c r="B84" s="1"/>
      <c r="C84" s="1"/>
      <c r="D84" s="1"/>
      <c r="E84" s="39">
        <f>FuenteTasaLibreDeRiesgo!A88</f>
        <v>2007</v>
      </c>
      <c r="F84" s="61">
        <f>FuenteRendimientoMercado!B83</f>
        <v>1468.36</v>
      </c>
      <c r="G84" s="61">
        <f>FuenteRendimientoMercado!C83</f>
        <v>27.73</v>
      </c>
      <c r="H84" s="42">
        <f t="shared" si="1"/>
        <v>5.4847352464217694E-2</v>
      </c>
      <c r="I84" s="37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s="32" customFormat="1">
      <c r="A85" s="8"/>
      <c r="B85" s="1"/>
      <c r="C85" s="1"/>
      <c r="D85" s="1"/>
      <c r="E85" s="39">
        <f>FuenteTasaLibreDeRiesgo!A89</f>
        <v>2008</v>
      </c>
      <c r="F85" s="61">
        <f>FuenteRendimientoMercado!B84</f>
        <v>903.25</v>
      </c>
      <c r="G85" s="61">
        <f>FuenteRendimientoMercado!C84</f>
        <v>28.39</v>
      </c>
      <c r="H85" s="42">
        <f t="shared" si="1"/>
        <v>-0.36552344111798191</v>
      </c>
      <c r="I85" s="37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s="32" customFormat="1">
      <c r="A86" s="8"/>
      <c r="B86" s="1"/>
      <c r="C86" s="1"/>
      <c r="D86" s="1"/>
      <c r="E86" s="39">
        <f>FuenteTasaLibreDeRiesgo!A90</f>
        <v>2009</v>
      </c>
      <c r="F86" s="61">
        <f>FuenteRendimientoMercado!B85</f>
        <v>1115.0999999999999</v>
      </c>
      <c r="G86" s="61">
        <f>FuenteRendimientoMercado!C85</f>
        <v>22.41</v>
      </c>
      <c r="H86" s="42">
        <f t="shared" si="1"/>
        <v>0.25935233877663982</v>
      </c>
      <c r="I86" s="37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s="32" customFormat="1">
      <c r="A87" s="8"/>
      <c r="B87" s="1"/>
      <c r="C87" s="1"/>
      <c r="D87" s="1"/>
      <c r="E87" s="39">
        <f>FuenteTasaLibreDeRiesgo!A91</f>
        <v>2010</v>
      </c>
      <c r="F87" s="61">
        <f>FuenteRendimientoMercado!B86</f>
        <v>1257.6400000000001</v>
      </c>
      <c r="G87" s="61">
        <f>FuenteRendimientoMercado!C86</f>
        <v>22.73</v>
      </c>
      <c r="H87" s="42">
        <f t="shared" si="1"/>
        <v>0.14821092278719414</v>
      </c>
      <c r="I87" s="37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s="32" customFormat="1">
      <c r="A88" s="8"/>
      <c r="B88" s="1"/>
      <c r="C88" s="1"/>
      <c r="D88" s="1"/>
      <c r="E88" s="39">
        <f>FuenteTasaLibreDeRiesgo!A92</f>
        <v>2011</v>
      </c>
      <c r="F88" s="61">
        <f>FuenteRendimientoMercado!B87</f>
        <v>1257.5999999999999</v>
      </c>
      <c r="G88" s="61">
        <f>FuenteRendimientoMercado!C87</f>
        <v>26.43</v>
      </c>
      <c r="H88" s="42">
        <f t="shared" si="1"/>
        <v>2.09837473362805E-2</v>
      </c>
      <c r="I88" s="37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s="32" customFormat="1">
      <c r="A89" s="8"/>
      <c r="B89" s="1"/>
      <c r="C89" s="1"/>
      <c r="D89" s="1"/>
      <c r="E89" s="39">
        <f>FuenteTasaLibreDeRiesgo!A93</f>
        <v>2012</v>
      </c>
      <c r="F89" s="61">
        <f>FuenteRendimientoMercado!B88</f>
        <v>1426.19</v>
      </c>
      <c r="G89" s="61">
        <f>FuenteRendimientoMercado!C88</f>
        <v>31.25</v>
      </c>
      <c r="H89" s="42">
        <f t="shared" si="1"/>
        <v>0.15890585241730293</v>
      </c>
      <c r="I89" s="37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s="32" customFormat="1">
      <c r="A90" s="8"/>
      <c r="B90" s="1"/>
      <c r="C90" s="1"/>
      <c r="D90" s="1"/>
      <c r="E90" s="39">
        <f>FuenteTasaLibreDeRiesgo!A94</f>
        <v>2013</v>
      </c>
      <c r="F90" s="61">
        <f>FuenteRendimientoMercado!B89</f>
        <v>1848.36</v>
      </c>
      <c r="G90" s="61">
        <f>FuenteRendimientoMercado!C89</f>
        <v>36.28</v>
      </c>
      <c r="H90" s="42">
        <f t="shared" si="1"/>
        <v>0.32145085858125483</v>
      </c>
      <c r="I90" s="37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s="32" customFormat="1">
      <c r="A91" s="8"/>
      <c r="B91" s="1"/>
      <c r="C91" s="1"/>
      <c r="D91" s="1"/>
      <c r="E91" s="39">
        <f>FuenteTasaLibreDeRiesgo!A95</f>
        <v>2014</v>
      </c>
      <c r="F91" s="61">
        <f>FuenteRendimientoMercado!B90</f>
        <v>2058.9</v>
      </c>
      <c r="G91" s="61">
        <f>FuenteRendimientoMercado!C90</f>
        <v>39.44</v>
      </c>
      <c r="H91" s="42">
        <f t="shared" si="1"/>
        <v>0.13524421649462237</v>
      </c>
      <c r="I91" s="37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s="32" customFormat="1">
      <c r="A92" s="8"/>
      <c r="B92" s="1"/>
      <c r="C92" s="1"/>
      <c r="D92" s="1"/>
      <c r="E92" s="39">
        <f>FuenteTasaLibreDeRiesgo!A96</f>
        <v>2015</v>
      </c>
      <c r="F92" s="61">
        <f>FuenteRendimientoMercado!B91</f>
        <v>2043.9</v>
      </c>
      <c r="G92" s="61">
        <f>FuenteRendimientoMercado!C91</f>
        <v>43.39</v>
      </c>
      <c r="H92" s="42">
        <f t="shared" si="1"/>
        <v>1.3788916411676138E-2</v>
      </c>
      <c r="I92" s="37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s="32" customFormat="1">
      <c r="A93" s="8"/>
      <c r="B93" s="1"/>
      <c r="C93" s="1"/>
      <c r="D93" s="1"/>
      <c r="E93" s="44">
        <f>FuenteTasaLibreDeRiesgo!A97</f>
        <v>2016</v>
      </c>
      <c r="F93" s="61">
        <f>FuenteRendimientoMercado!B92</f>
        <v>2238.83</v>
      </c>
      <c r="G93" s="61">
        <f>FuenteRendimientoMercado!C92</f>
        <v>45.7</v>
      </c>
      <c r="H93" s="42">
        <f t="shared" si="1"/>
        <v>0.11773080874798171</v>
      </c>
      <c r="I93" s="37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s="32" customFormat="1">
      <c r="A94" s="8"/>
      <c r="B94" s="1"/>
      <c r="C94" s="1"/>
      <c r="D94" s="1"/>
      <c r="E94" s="39">
        <f>FuenteTasaLibreDeRiesgo!A98</f>
        <v>2017</v>
      </c>
      <c r="F94" s="61">
        <f>FuenteRendimientoMercado!B93</f>
        <v>2673.61</v>
      </c>
      <c r="G94" s="61">
        <f>FuenteRendimientoMercado!C93</f>
        <v>48.93</v>
      </c>
      <c r="H94" s="42">
        <f t="shared" si="1"/>
        <v>0.2160548143449928</v>
      </c>
      <c r="I94" s="37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s="32" customFormat="1">
      <c r="A95" s="8"/>
      <c r="B95" s="1"/>
      <c r="C95" s="1"/>
      <c r="D95" s="1"/>
      <c r="E95" s="39">
        <f>FuenteTasaLibreDeRiesgo!A99</f>
        <v>2018</v>
      </c>
      <c r="F95" s="61">
        <f>FuenteRendimientoMercado!B94</f>
        <v>2506.85</v>
      </c>
      <c r="G95" s="61">
        <f>FuenteRendimientoMercado!C94</f>
        <v>53.75</v>
      </c>
      <c r="H95" s="42">
        <f t="shared" si="1"/>
        <v>-4.2268692890885438E-2</v>
      </c>
      <c r="I95" s="37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s="32" customFormat="1">
      <c r="A96" s="8"/>
      <c r="B96" s="1"/>
      <c r="C96" s="1"/>
      <c r="D96" s="1"/>
      <c r="E96" s="39">
        <f>FuenteTasaLibreDeRiesgo!A100</f>
        <v>2019</v>
      </c>
      <c r="F96" s="61">
        <f>FuenteRendimientoMercado!B95</f>
        <v>3230.78</v>
      </c>
      <c r="G96" s="61">
        <f>FuenteRendimientoMercado!C95</f>
        <v>58.5</v>
      </c>
      <c r="H96" s="42">
        <f t="shared" si="1"/>
        <v>0.31211679996808755</v>
      </c>
      <c r="I96" s="37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s="32" customFormat="1">
      <c r="A97" s="8"/>
      <c r="B97" s="1"/>
      <c r="C97" s="1"/>
      <c r="D97" s="1"/>
      <c r="E97" s="39">
        <f>FuenteTasaLibreDeRiesgo!A101</f>
        <v>2020</v>
      </c>
      <c r="F97" s="61">
        <f>FuenteRendimientoMercado!B96</f>
        <v>3756.07</v>
      </c>
      <c r="G97" s="61">
        <f>FuenteRendimientoMercado!C96</f>
        <v>56.7</v>
      </c>
      <c r="H97" s="42">
        <f t="shared" si="1"/>
        <v>0.18013916144089043</v>
      </c>
      <c r="I97" s="37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>
      <c r="I98" s="37"/>
    </row>
    <row r="99" spans="1:21">
      <c r="I99" s="37"/>
    </row>
    <row r="100" spans="1:21">
      <c r="I100" s="37"/>
    </row>
  </sheetData>
  <phoneticPr fontId="21" type="noConversion"/>
  <hyperlinks>
    <hyperlink ref="A1" location="Indice!A1" display="Índice" xr:uid="{82FF6F7B-3A25-4155-BEBE-609F275AE6B0}"/>
  </hyperlink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72F50-8172-4E4D-A95F-EA795E550A92}">
  <sheetPr>
    <tabColor rgb="FFFFEEB7"/>
  </sheetPr>
  <dimension ref="A1:L25"/>
  <sheetViews>
    <sheetView zoomScaleNormal="100" workbookViewId="0">
      <pane xSplit="5" ySplit="8" topLeftCell="F9" activePane="bottomRight" state="frozenSplit"/>
      <selection activeCell="A10" sqref="A10"/>
      <selection pane="topRight" activeCell="A10" sqref="A10"/>
      <selection pane="bottomLeft" activeCell="A10" sqref="A10"/>
      <selection pane="bottomRight"/>
    </sheetView>
  </sheetViews>
  <sheetFormatPr baseColWidth="10" defaultRowHeight="15"/>
  <cols>
    <col min="1" max="1" width="20.140625" style="152" customWidth="1"/>
    <col min="2" max="3" width="11.42578125" style="97"/>
    <col min="4" max="4" width="28" style="97" bestFit="1" customWidth="1"/>
    <col min="5" max="5" width="11.28515625" style="151" customWidth="1"/>
    <col min="6" max="11" width="12.5703125" style="97" customWidth="1"/>
    <col min="12" max="16384" width="11.42578125" style="97"/>
  </cols>
  <sheetData>
    <row r="1" spans="1:12" ht="11.25" customHeight="1">
      <c r="A1" s="150" t="s">
        <v>13</v>
      </c>
    </row>
    <row r="2" spans="1:12" ht="9" customHeight="1"/>
    <row r="3" spans="1:12" ht="8.25" customHeight="1"/>
    <row r="4" spans="1:12">
      <c r="D4" s="153" t="s">
        <v>261</v>
      </c>
    </row>
    <row r="5" spans="1:12">
      <c r="D5" s="151"/>
    </row>
    <row r="6" spans="1:12">
      <c r="D6" s="151"/>
    </row>
    <row r="7" spans="1:12">
      <c r="D7" s="154"/>
      <c r="E7" s="155">
        <v>2018</v>
      </c>
      <c r="F7" s="155">
        <v>2019</v>
      </c>
      <c r="G7" s="155">
        <v>2020</v>
      </c>
      <c r="H7" s="155">
        <v>2021</v>
      </c>
      <c r="I7" s="155">
        <v>2022</v>
      </c>
      <c r="J7" s="155">
        <v>2023</v>
      </c>
      <c r="K7" s="155">
        <v>2024</v>
      </c>
    </row>
    <row r="8" spans="1:12">
      <c r="D8" s="151"/>
      <c r="F8" s="156"/>
      <c r="G8" s="156"/>
      <c r="H8" s="156"/>
      <c r="I8" s="156"/>
      <c r="J8" s="156"/>
      <c r="K8" s="156"/>
    </row>
    <row r="9" spans="1:12">
      <c r="C9" s="97" t="s">
        <v>262</v>
      </c>
      <c r="D9" s="151" t="s">
        <v>263</v>
      </c>
      <c r="F9" s="157">
        <f t="shared" ref="F9:K9" si="0">F$10*F$18</f>
        <v>3.3380992485522718</v>
      </c>
      <c r="G9" s="157">
        <f t="shared" si="0"/>
        <v>3.4529710167015195</v>
      </c>
      <c r="H9" s="157">
        <f t="shared" si="0"/>
        <v>3.6275930731744168</v>
      </c>
      <c r="I9" s="157">
        <f t="shared" si="0"/>
        <v>3.5365826318896181</v>
      </c>
      <c r="J9" s="157">
        <f t="shared" si="0"/>
        <v>3.5399554059890583</v>
      </c>
      <c r="K9" s="157">
        <f t="shared" si="0"/>
        <v>3.5405718901453946</v>
      </c>
      <c r="L9" s="92"/>
    </row>
    <row r="10" spans="1:12">
      <c r="A10" s="150"/>
      <c r="C10" s="97" t="s">
        <v>262</v>
      </c>
      <c r="D10" s="153" t="s">
        <v>264</v>
      </c>
      <c r="F10" s="158">
        <v>3.34</v>
      </c>
      <c r="G10" s="158">
        <v>3.51</v>
      </c>
      <c r="H10" s="158">
        <v>3.63</v>
      </c>
      <c r="I10" s="158">
        <v>3.54</v>
      </c>
      <c r="J10" s="158">
        <v>3.54</v>
      </c>
      <c r="K10" s="158">
        <v>3.54</v>
      </c>
      <c r="L10" s="152"/>
    </row>
    <row r="11" spans="1:12">
      <c r="D11" s="151"/>
      <c r="F11" s="92"/>
      <c r="G11" s="92"/>
      <c r="H11" s="92"/>
      <c r="I11" s="92"/>
      <c r="J11" s="92"/>
      <c r="K11" s="92"/>
      <c r="L11" s="92"/>
    </row>
    <row r="12" spans="1:12">
      <c r="C12" s="97" t="s">
        <v>270</v>
      </c>
      <c r="D12" s="153" t="s">
        <v>264</v>
      </c>
      <c r="F12" s="166">
        <f>1/F10</f>
        <v>0.29940119760479045</v>
      </c>
      <c r="G12" s="166">
        <f t="shared" ref="G12:K12" si="1">1/G10</f>
        <v>0.28490028490028491</v>
      </c>
      <c r="H12" s="166">
        <f t="shared" si="1"/>
        <v>0.27548209366391185</v>
      </c>
      <c r="I12" s="166">
        <f t="shared" si="1"/>
        <v>0.2824858757062147</v>
      </c>
      <c r="J12" s="166">
        <f t="shared" si="1"/>
        <v>0.2824858757062147</v>
      </c>
      <c r="K12" s="166">
        <f t="shared" si="1"/>
        <v>0.2824858757062147</v>
      </c>
      <c r="L12" s="92"/>
    </row>
    <row r="13" spans="1:12">
      <c r="C13" s="97" t="s">
        <v>270</v>
      </c>
      <c r="D13" s="151" t="s">
        <v>271</v>
      </c>
      <c r="F13" s="92"/>
      <c r="G13" s="159">
        <f>G12/F12-1</f>
        <v>-4.843304843304852E-2</v>
      </c>
      <c r="H13" s="159">
        <f t="shared" ref="H13:K13" si="2">H12/G12-1</f>
        <v>-3.3057851239669422E-2</v>
      </c>
      <c r="I13" s="159">
        <f t="shared" si="2"/>
        <v>2.5423728813559254E-2</v>
      </c>
      <c r="J13" s="159">
        <f t="shared" si="2"/>
        <v>0</v>
      </c>
      <c r="K13" s="159">
        <f t="shared" si="2"/>
        <v>0</v>
      </c>
      <c r="L13" s="159">
        <f>AVERAGE(H13:K13)</f>
        <v>-1.908530606527542E-3</v>
      </c>
    </row>
    <row r="14" spans="1:12">
      <c r="C14" s="97" t="s">
        <v>262</v>
      </c>
      <c r="D14" s="151" t="s">
        <v>271</v>
      </c>
      <c r="F14" s="92"/>
      <c r="G14" s="159">
        <f>G10/F10-1</f>
        <v>5.0898203592814273E-2</v>
      </c>
      <c r="H14" s="159">
        <f t="shared" ref="H14:K14" si="3">H10/G10-1</f>
        <v>3.4188034188034289E-2</v>
      </c>
      <c r="I14" s="159">
        <f t="shared" si="3"/>
        <v>-2.4793388429751984E-2</v>
      </c>
      <c r="J14" s="159">
        <f t="shared" si="3"/>
        <v>0</v>
      </c>
      <c r="K14" s="159">
        <f t="shared" si="3"/>
        <v>0</v>
      </c>
      <c r="L14" s="159">
        <f>AVERAGE(H14:K14)</f>
        <v>2.3486614395705763E-3</v>
      </c>
    </row>
    <row r="15" spans="1:12">
      <c r="D15" s="151"/>
      <c r="F15" s="92"/>
      <c r="G15" s="92"/>
      <c r="H15" s="92"/>
      <c r="I15" s="92"/>
      <c r="J15" s="92"/>
      <c r="K15" s="92"/>
      <c r="L15" s="92"/>
    </row>
    <row r="16" spans="1:12">
      <c r="D16" s="151" t="s">
        <v>265</v>
      </c>
      <c r="F16" s="159">
        <f t="shared" ref="F16:K16" si="4">F21/E21-1</f>
        <v>1.8120270808442918E-2</v>
      </c>
      <c r="G16" s="159">
        <f t="shared" si="4"/>
        <v>1.2477997261881368E-2</v>
      </c>
      <c r="H16" s="159">
        <f t="shared" si="4"/>
        <v>2.2678102302580827E-2</v>
      </c>
      <c r="I16" s="159">
        <f t="shared" si="4"/>
        <v>2.3988515734199689E-2</v>
      </c>
      <c r="J16" s="159">
        <f t="shared" si="4"/>
        <v>2.5012912270345966E-2</v>
      </c>
      <c r="K16" s="159">
        <f t="shared" si="4"/>
        <v>2.4834437086092898E-2</v>
      </c>
      <c r="L16" s="159">
        <f>AVERAGE(H16:K16)</f>
        <v>2.4128491848304845E-2</v>
      </c>
    </row>
    <row r="17" spans="1:12">
      <c r="A17" s="150" t="s">
        <v>297</v>
      </c>
      <c r="D17" s="151" t="s">
        <v>266</v>
      </c>
      <c r="F17" s="160">
        <v>1.8700000000000001E-2</v>
      </c>
      <c r="G17" s="161">
        <v>2.92E-2</v>
      </c>
      <c r="H17" s="161">
        <v>2.1999999999999999E-2</v>
      </c>
      <c r="I17" s="161">
        <v>2.3E-2</v>
      </c>
      <c r="J17" s="161">
        <v>2.5000000000000001E-2</v>
      </c>
      <c r="K17" s="161">
        <v>2.5000000000000001E-2</v>
      </c>
      <c r="L17" s="159">
        <f>AVERAGE(H17:K17)</f>
        <v>2.375E-2</v>
      </c>
    </row>
    <row r="18" spans="1:12">
      <c r="A18" s="152" t="s">
        <v>294</v>
      </c>
      <c r="D18" s="151" t="s">
        <v>267</v>
      </c>
      <c r="F18" s="159">
        <f>(1+F$16)/(1+F$17)</f>
        <v>0.99943091274020124</v>
      </c>
      <c r="G18" s="159">
        <f>(1+G$16)/(1+G$17)</f>
        <v>0.98375242641068938</v>
      </c>
      <c r="H18" s="159">
        <f>(1+H$17)/(1+H$16)</f>
        <v>0.99933693475879259</v>
      </c>
      <c r="I18" s="159">
        <f>(1+I$17)/(1+I$16)</f>
        <v>0.99903464177672829</v>
      </c>
      <c r="J18" s="159">
        <f>(1+J$17)/(1+J$16)</f>
        <v>0.9999874028217679</v>
      </c>
      <c r="K18" s="159">
        <f>(1+K$17)/(1+K$16)</f>
        <v>1.0001615508885295</v>
      </c>
      <c r="L18" s="92"/>
    </row>
    <row r="19" spans="1:12">
      <c r="A19" s="152" t="s">
        <v>295</v>
      </c>
      <c r="D19" s="151"/>
      <c r="F19" s="156"/>
      <c r="G19" s="156"/>
      <c r="H19" s="156"/>
      <c r="I19" s="156"/>
      <c r="J19" s="156"/>
      <c r="K19" s="156"/>
      <c r="L19" s="92"/>
    </row>
    <row r="20" spans="1:12">
      <c r="A20" s="152" t="s">
        <v>296</v>
      </c>
      <c r="D20" s="151"/>
      <c r="F20" s="162"/>
      <c r="G20" s="163"/>
      <c r="H20" s="163"/>
      <c r="I20" s="163"/>
      <c r="J20" s="163"/>
      <c r="K20" s="163"/>
      <c r="L20" s="92"/>
    </row>
    <row r="21" spans="1:12">
      <c r="A21" s="150" t="s">
        <v>268</v>
      </c>
      <c r="D21" s="151" t="s">
        <v>269</v>
      </c>
      <c r="E21" s="164">
        <v>251.1</v>
      </c>
      <c r="F21" s="164">
        <v>255.65</v>
      </c>
      <c r="G21" s="164">
        <v>258.83999999999997</v>
      </c>
      <c r="H21" s="164">
        <v>264.70999999999998</v>
      </c>
      <c r="I21" s="164">
        <v>271.06</v>
      </c>
      <c r="J21" s="164">
        <v>277.83999999999997</v>
      </c>
      <c r="K21" s="164">
        <v>284.74</v>
      </c>
    </row>
    <row r="22" spans="1:12">
      <c r="A22" s="152" t="s">
        <v>293</v>
      </c>
    </row>
    <row r="25" spans="1:12">
      <c r="F25" s="165"/>
      <c r="G25" s="165"/>
      <c r="H25" s="165"/>
      <c r="I25" s="165"/>
      <c r="J25" s="165"/>
      <c r="K25" s="165"/>
    </row>
  </sheetData>
  <hyperlinks>
    <hyperlink ref="A21" r:id="rId1" location=":~:text=In%202020%2C%20the%20annual%20Consumer,projected%20to%20be%202.44%20percent.&amp;text=According%20to%20data%20published%20by,period%20of%201982%20to%201984." display="https://www.statista.com/statistics/244993/projected-consumer-price-index-in-the-united-states/#:~:text=In%202020%2C%20the%20annual%20Consumer,projected%20to%20be%202.44%20percent.&amp;text=According%20to%20data%20published%20by,period%20of%201982%20to%201984." xr:uid="{8434EBA9-7FF0-48FD-AA61-B7122C9D2B95}"/>
    <hyperlink ref="A1" location="Indice!A1" display="Índice" xr:uid="{7DD0FA9E-9322-48A6-B2ED-C052D979519B}"/>
    <hyperlink ref="A17" r:id="rId2" xr:uid="{246CB324-D684-4A14-82ED-8EC96F4CC995}"/>
  </hyperlinks>
  <pageMargins left="0.7" right="0.7" top="0.75" bottom="0.75" header="0.3" footer="0.3"/>
  <pageSetup orientation="portrait" horizontalDpi="1200" verticalDpi="1200" r:id="rId3"/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6997-E7A8-436E-9118-1A083C296570}">
  <sheetPr>
    <tabColor theme="0"/>
  </sheetPr>
  <dimension ref="A1:T33"/>
  <sheetViews>
    <sheetView zoomScale="85" zoomScaleNormal="85" workbookViewId="0"/>
  </sheetViews>
  <sheetFormatPr baseColWidth="10" defaultRowHeight="15"/>
  <cols>
    <col min="1" max="1" width="11.42578125" style="8"/>
    <col min="2" max="2" width="6" style="1" bestFit="1" customWidth="1"/>
    <col min="3" max="3" width="33.28515625" style="1" bestFit="1" customWidth="1"/>
    <col min="4" max="4" width="6.5703125" style="1" customWidth="1"/>
    <col min="5" max="5" width="16.42578125" style="37" customWidth="1"/>
    <col min="6" max="6" width="22" style="38" customWidth="1"/>
    <col min="7" max="7" width="45.85546875" style="38" bestFit="1" customWidth="1"/>
    <col min="8" max="9" width="10" style="1" customWidth="1"/>
    <col min="10" max="16384" width="11.42578125" style="1"/>
  </cols>
  <sheetData>
    <row r="1" spans="1:20">
      <c r="A1" s="33" t="s">
        <v>13</v>
      </c>
      <c r="F1" s="37"/>
      <c r="G1" s="37"/>
    </row>
    <row r="2" spans="1:20" s="32" customFormat="1">
      <c r="A2" s="8"/>
      <c r="B2" s="1"/>
      <c r="C2" s="1"/>
      <c r="D2" s="1"/>
      <c r="E2" s="37"/>
      <c r="F2" s="37"/>
      <c r="G2" s="3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s="32" customFormat="1" ht="25.5" customHeight="1">
      <c r="A3" s="8"/>
      <c r="B3" s="1"/>
      <c r="C3" s="35" t="s">
        <v>95</v>
      </c>
      <c r="D3" s="2"/>
      <c r="E3" s="85" t="s">
        <v>10</v>
      </c>
      <c r="F3" s="85" t="s">
        <v>81</v>
      </c>
      <c r="G3" s="85" t="s">
        <v>94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s="32" customFormat="1">
      <c r="A4" s="8"/>
      <c r="C4" s="93">
        <f>AVERAGE($G$9:$G$32)/10000</f>
        <v>1.5427334995921959E-2</v>
      </c>
      <c r="D4" s="2"/>
      <c r="E4" s="86">
        <v>2019</v>
      </c>
      <c r="F4" s="87" t="s">
        <v>82</v>
      </c>
      <c r="G4" s="90">
        <f>FuenteRiesgoPais!$C26</f>
        <v>152.39130434782601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s="32" customFormat="1">
      <c r="A5" s="8"/>
      <c r="B5" s="1"/>
      <c r="C5" s="1"/>
      <c r="D5" s="1"/>
      <c r="E5" s="39">
        <v>2019</v>
      </c>
      <c r="F5" s="84" t="s">
        <v>83</v>
      </c>
      <c r="G5" s="91">
        <f>FuenteRiesgoPais!$C27</f>
        <v>139.5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s="32" customFormat="1">
      <c r="A6" s="8"/>
      <c r="B6" s="1"/>
      <c r="D6" s="1"/>
      <c r="E6" s="88">
        <v>2019</v>
      </c>
      <c r="F6" s="89" t="s">
        <v>84</v>
      </c>
      <c r="G6" s="90">
        <f>FuenteRiesgoPais!$C28</f>
        <v>135.666666666667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s="32" customFormat="1">
      <c r="A7" s="8"/>
      <c r="B7" s="1"/>
      <c r="C7" s="1"/>
      <c r="D7" s="3"/>
      <c r="E7" s="39">
        <v>2019</v>
      </c>
      <c r="F7" s="84" t="s">
        <v>85</v>
      </c>
      <c r="G7" s="91">
        <f>FuenteRiesgoPais!$C29</f>
        <v>122.363636363636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s="32" customFormat="1">
      <c r="A8" s="8"/>
      <c r="B8" s="1"/>
      <c r="C8" s="1"/>
      <c r="D8" s="3"/>
      <c r="E8" s="88">
        <v>2019</v>
      </c>
      <c r="F8" s="89" t="s">
        <v>86</v>
      </c>
      <c r="G8" s="90">
        <f>FuenteRiesgoPais!$C30</f>
        <v>135.695652173913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s="32" customFormat="1">
      <c r="A9" s="8"/>
      <c r="B9" s="1"/>
      <c r="C9" s="1"/>
      <c r="D9" s="1"/>
      <c r="E9" s="39">
        <v>2019</v>
      </c>
      <c r="F9" s="84" t="s">
        <v>87</v>
      </c>
      <c r="G9" s="179">
        <f>FuenteRiesgoPais!$C31</f>
        <v>129.15</v>
      </c>
      <c r="H9" s="64"/>
      <c r="I9" s="7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32" customFormat="1">
      <c r="A10" s="8"/>
      <c r="B10" s="1"/>
      <c r="C10" s="1"/>
      <c r="D10" s="1"/>
      <c r="E10" s="88">
        <v>2019</v>
      </c>
      <c r="F10" s="89" t="s">
        <v>88</v>
      </c>
      <c r="G10" s="180">
        <f>FuenteRiesgoPais!$C32</f>
        <v>116.130434782609</v>
      </c>
      <c r="H10" s="6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s="32" customFormat="1">
      <c r="A11" s="8"/>
      <c r="B11" s="1"/>
      <c r="C11" s="9"/>
      <c r="D11" s="4"/>
      <c r="E11" s="39">
        <v>2019</v>
      </c>
      <c r="F11" s="84" t="s">
        <v>89</v>
      </c>
      <c r="G11" s="179">
        <f>FuenteRiesgoPais!$C33</f>
        <v>127.09090909090899</v>
      </c>
      <c r="H11" s="65"/>
      <c r="I11" s="9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s="32" customFormat="1">
      <c r="A12" s="8"/>
      <c r="B12" s="1"/>
      <c r="C12" s="1"/>
      <c r="D12" s="1"/>
      <c r="E12" s="88">
        <v>2019</v>
      </c>
      <c r="F12" s="89" t="s">
        <v>90</v>
      </c>
      <c r="G12" s="180">
        <f>FuenteRiesgoPais!$C34</f>
        <v>116.428571428571</v>
      </c>
      <c r="H12" s="6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s="32" customFormat="1">
      <c r="A13" s="8"/>
      <c r="B13" s="8"/>
      <c r="C13" s="8"/>
      <c r="D13" s="1"/>
      <c r="E13" s="39">
        <v>2019</v>
      </c>
      <c r="F13" s="84" t="s">
        <v>91</v>
      </c>
      <c r="G13" s="179">
        <f>FuenteRiesgoPais!$C35</f>
        <v>126.913043478261</v>
      </c>
      <c r="H13" s="63"/>
      <c r="I13" s="8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s="32" customFormat="1">
      <c r="A14" s="8"/>
      <c r="B14" s="8"/>
      <c r="C14" s="7"/>
      <c r="D14" s="1"/>
      <c r="E14" s="88">
        <v>2019</v>
      </c>
      <c r="F14" s="89" t="s">
        <v>92</v>
      </c>
      <c r="G14" s="180">
        <f>FuenteRiesgoPais!$C36</f>
        <v>126.761904761905</v>
      </c>
      <c r="H14" s="63"/>
      <c r="I14" s="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s="32" customFormat="1">
      <c r="A15" s="8"/>
      <c r="B15" s="8"/>
      <c r="C15" s="7"/>
      <c r="D15" s="1"/>
      <c r="E15" s="39">
        <v>2019</v>
      </c>
      <c r="F15" s="84" t="s">
        <v>93</v>
      </c>
      <c r="G15" s="179">
        <f>FuenteRiesgoPais!$C37</f>
        <v>115.90909090909101</v>
      </c>
      <c r="H15" s="63"/>
      <c r="I15" s="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s="32" customFormat="1">
      <c r="A16" s="8"/>
      <c r="B16" s="1"/>
      <c r="C16" s="7"/>
      <c r="D16" s="1"/>
      <c r="E16" s="88">
        <v>2020</v>
      </c>
      <c r="F16" s="89" t="s">
        <v>82</v>
      </c>
      <c r="G16" s="180">
        <f>FuenteRiesgoPais!$C40</f>
        <v>113.869565217391</v>
      </c>
      <c r="H16" s="63"/>
      <c r="I16" s="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s="32" customFormat="1">
      <c r="A17" s="8"/>
      <c r="B17" s="1"/>
      <c r="C17" s="7"/>
      <c r="D17" s="1"/>
      <c r="E17" s="39">
        <v>2020</v>
      </c>
      <c r="F17" s="84" t="s">
        <v>83</v>
      </c>
      <c r="G17" s="179">
        <f>FuenteRiesgoPais!$C41</f>
        <v>122.2</v>
      </c>
      <c r="H17" s="63"/>
      <c r="I17" s="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s="32" customFormat="1">
      <c r="A18" s="8"/>
      <c r="B18" s="1"/>
      <c r="C18" s="7"/>
      <c r="D18" s="1"/>
      <c r="E18" s="88">
        <v>2020</v>
      </c>
      <c r="F18" s="89" t="s">
        <v>84</v>
      </c>
      <c r="G18" s="180">
        <f>FuenteRiesgoPais!$C42</f>
        <v>248.90909090909099</v>
      </c>
      <c r="H18" s="64"/>
      <c r="I18" s="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s="32" customFormat="1">
      <c r="A19" s="8"/>
      <c r="B19" s="1"/>
      <c r="C19" s="7"/>
      <c r="D19" s="1"/>
      <c r="E19" s="39">
        <v>2020</v>
      </c>
      <c r="F19" s="84" t="s">
        <v>85</v>
      </c>
      <c r="G19" s="179">
        <f>FuenteRiesgoPais!$C43</f>
        <v>277.95454545454498</v>
      </c>
      <c r="H19" s="64"/>
      <c r="I19" s="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s="32" customFormat="1">
      <c r="A20" s="8"/>
      <c r="B20" s="1"/>
      <c r="C20" s="7"/>
      <c r="D20" s="1"/>
      <c r="E20" s="88">
        <v>2020</v>
      </c>
      <c r="F20" s="89" t="s">
        <v>86</v>
      </c>
      <c r="G20" s="180">
        <f>FuenteRiesgoPais!$C44</f>
        <v>222.35</v>
      </c>
      <c r="H20" s="64"/>
      <c r="I20" s="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s="32" customFormat="1">
      <c r="A21" s="8"/>
      <c r="B21" s="1"/>
      <c r="C21" s="7"/>
      <c r="D21" s="1"/>
      <c r="E21" s="39">
        <v>2020</v>
      </c>
      <c r="F21" s="84" t="s">
        <v>87</v>
      </c>
      <c r="G21" s="179">
        <f>FuenteRiesgoPais!$C45</f>
        <v>180.136363636364</v>
      </c>
      <c r="H21" s="64"/>
      <c r="I21" s="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s="32" customFormat="1">
      <c r="A22" s="8"/>
      <c r="B22" s="1"/>
      <c r="C22" s="1"/>
      <c r="D22" s="1"/>
      <c r="E22" s="88">
        <v>2020</v>
      </c>
      <c r="F22" s="89" t="s">
        <v>88</v>
      </c>
      <c r="G22" s="180">
        <f>FuenteRiesgoPais!$C46</f>
        <v>169.34782608695701</v>
      </c>
      <c r="H22" s="6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s="32" customFormat="1">
      <c r="A23" s="8"/>
      <c r="B23" s="1"/>
      <c r="C23" s="1"/>
      <c r="D23" s="1"/>
      <c r="E23" s="39">
        <v>2020</v>
      </c>
      <c r="F23" s="84" t="s">
        <v>89</v>
      </c>
      <c r="G23" s="179">
        <f>FuenteRiesgoPais!$C47</f>
        <v>145.636363636364</v>
      </c>
      <c r="H23" s="6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s="32" customFormat="1">
      <c r="A24" s="8"/>
      <c r="B24" s="1"/>
      <c r="C24" s="1"/>
      <c r="D24" s="1"/>
      <c r="E24" s="88">
        <v>2020</v>
      </c>
      <c r="F24" s="89" t="s">
        <v>90</v>
      </c>
      <c r="G24" s="180">
        <f>FuenteRiesgoPais!$C48</f>
        <v>160.40909090909099</v>
      </c>
      <c r="H24" s="6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s="32" customFormat="1">
      <c r="A25" s="8"/>
      <c r="B25" s="1"/>
      <c r="C25" s="1"/>
      <c r="D25" s="1"/>
      <c r="E25" s="39">
        <v>2020</v>
      </c>
      <c r="F25" s="84" t="s">
        <v>91</v>
      </c>
      <c r="G25" s="179">
        <f>FuenteRiesgoPais!$C49</f>
        <v>150.18181818181799</v>
      </c>
      <c r="H25" s="6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s="32" customFormat="1">
      <c r="A26" s="8"/>
      <c r="B26" s="1"/>
      <c r="C26" s="1"/>
      <c r="D26" s="1"/>
      <c r="E26" s="88">
        <v>2020</v>
      </c>
      <c r="F26" s="89" t="s">
        <v>92</v>
      </c>
      <c r="G26" s="180">
        <f>FuenteRiesgoPais!$C50</f>
        <v>147</v>
      </c>
      <c r="H26" s="6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s="32" customFormat="1">
      <c r="A27" s="8"/>
      <c r="B27" s="1"/>
      <c r="C27" s="1"/>
      <c r="D27" s="1"/>
      <c r="E27" s="39">
        <v>2020</v>
      </c>
      <c r="F27" s="84" t="s">
        <v>93</v>
      </c>
      <c r="G27" s="179">
        <f>FuenteRiesgoPais!$C51</f>
        <v>143.304347826087</v>
      </c>
      <c r="H27" s="6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E28" s="88">
        <v>2021</v>
      </c>
      <c r="F28" s="89" t="s">
        <v>82</v>
      </c>
      <c r="G28" s="180">
        <f>FuenteRiesgoPais!$C54</f>
        <v>131.61904761904799</v>
      </c>
    </row>
    <row r="29" spans="1:20">
      <c r="E29" s="39">
        <v>2021</v>
      </c>
      <c r="F29" s="84" t="s">
        <v>83</v>
      </c>
      <c r="G29" s="179">
        <f>FuenteRiesgoPais!$C55</f>
        <v>138.1</v>
      </c>
    </row>
    <row r="30" spans="1:20">
      <c r="E30" s="88">
        <v>2021</v>
      </c>
      <c r="F30" s="89" t="s">
        <v>84</v>
      </c>
      <c r="G30" s="180">
        <f>FuenteRiesgoPais!$C56</f>
        <v>165.08695652173901</v>
      </c>
    </row>
    <row r="31" spans="1:20">
      <c r="E31" s="39">
        <v>2021</v>
      </c>
      <c r="F31" s="84" t="s">
        <v>85</v>
      </c>
      <c r="G31" s="179">
        <f>FuenteRiesgoPais!$C57</f>
        <v>164.5</v>
      </c>
    </row>
    <row r="32" spans="1:20">
      <c r="E32" s="88">
        <v>2021</v>
      </c>
      <c r="F32" s="89" t="s">
        <v>86</v>
      </c>
      <c r="G32" s="180">
        <f>FuenteRiesgoPais!$C58</f>
        <v>163.57142857142901</v>
      </c>
    </row>
    <row r="33" spans="5:7">
      <c r="E33" s="39">
        <v>2021</v>
      </c>
      <c r="F33" s="84" t="s">
        <v>87</v>
      </c>
      <c r="G33" s="91">
        <f>FuenteRiesgoPais!$C59</f>
        <v>170.333333333333</v>
      </c>
    </row>
  </sheetData>
  <phoneticPr fontId="21" type="noConversion"/>
  <hyperlinks>
    <hyperlink ref="A1" location="Indice!A1" display="Índice" xr:uid="{F6E0BA95-FA42-472C-A13E-44C5E1D48630}"/>
  </hyperlinks>
  <pageMargins left="0.7" right="0.7" top="0.75" bottom="0.75" header="0.3" footer="0.3"/>
  <ignoredErrors>
    <ignoredError sqref="E4:F27" calculatedColumn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B0AE3-B170-4650-9EAA-B91D08805F38}">
  <sheetPr>
    <tabColor theme="0"/>
    <pageSetUpPr autoPageBreaks="0"/>
  </sheetPr>
  <dimension ref="B1:N75"/>
  <sheetViews>
    <sheetView showGridLines="0" topLeftCell="A34" zoomScale="85" zoomScaleNormal="85" zoomScaleSheetLayoutView="85" workbookViewId="0">
      <selection activeCell="C54" activeCellId="2" sqref="C31:C37 C40:C51 C54:C58"/>
    </sheetView>
  </sheetViews>
  <sheetFormatPr baseColWidth="10" defaultColWidth="9.140625" defaultRowHeight="12.75"/>
  <cols>
    <col min="1" max="1" width="5.7109375" style="67" customWidth="1"/>
    <col min="2" max="2" width="14.7109375" style="67" customWidth="1"/>
    <col min="3" max="3" width="11.140625" style="67" customWidth="1"/>
    <col min="4" max="4" width="11.28515625" style="67" customWidth="1"/>
    <col min="5" max="7" width="11" style="67" customWidth="1"/>
    <col min="8" max="8" width="11.85546875" style="67" customWidth="1"/>
    <col min="9" max="9" width="11.28515625" style="67" customWidth="1"/>
    <col min="10" max="10" width="12.140625" style="67" customWidth="1"/>
    <col min="11" max="11" width="2.7109375" style="67" customWidth="1"/>
    <col min="12" max="12" width="15.42578125" style="67" customWidth="1"/>
    <col min="13" max="13" width="13.5703125" style="67" customWidth="1"/>
    <col min="14" max="14" width="14.7109375" style="67" customWidth="1"/>
    <col min="15" max="16384" width="9.140625" style="67"/>
  </cols>
  <sheetData>
    <row r="1" spans="2:14">
      <c r="C1" s="68"/>
      <c r="D1" s="68"/>
      <c r="E1" s="68"/>
      <c r="F1" s="68"/>
      <c r="G1" s="68"/>
      <c r="H1" s="68"/>
      <c r="I1" s="68"/>
      <c r="J1" s="68"/>
      <c r="L1" s="68"/>
      <c r="M1" s="68"/>
    </row>
    <row r="2" spans="2:14" s="71" customFormat="1" ht="15.75">
      <c r="B2" s="69" t="s">
        <v>35</v>
      </c>
      <c r="C2" s="69"/>
      <c r="D2" s="70"/>
      <c r="N2" s="69"/>
    </row>
    <row r="3" spans="2:14" s="71" customFormat="1" ht="15.75">
      <c r="B3" s="72" t="s">
        <v>36</v>
      </c>
      <c r="D3" s="70"/>
      <c r="N3" s="69"/>
    </row>
    <row r="4" spans="2:14" s="71" customFormat="1" ht="14.25"/>
    <row r="5" spans="2:14" s="71" customFormat="1" ht="12.75" customHeight="1">
      <c r="B5" s="217"/>
      <c r="C5" s="220" t="s">
        <v>37</v>
      </c>
      <c r="D5" s="221"/>
      <c r="E5" s="221"/>
      <c r="F5" s="221"/>
      <c r="G5" s="221"/>
      <c r="H5" s="221"/>
      <c r="I5" s="221"/>
      <c r="J5" s="222"/>
      <c r="K5" s="73"/>
      <c r="L5" s="217" t="s">
        <v>38</v>
      </c>
      <c r="M5" s="217" t="s">
        <v>39</v>
      </c>
      <c r="N5" s="217"/>
    </row>
    <row r="6" spans="2:14" s="71" customFormat="1" ht="14.25" customHeight="1">
      <c r="B6" s="218"/>
      <c r="C6" s="223"/>
      <c r="D6" s="224"/>
      <c r="E6" s="224"/>
      <c r="F6" s="224"/>
      <c r="G6" s="224"/>
      <c r="H6" s="224"/>
      <c r="I6" s="224"/>
      <c r="J6" s="225"/>
      <c r="K6" s="73"/>
      <c r="L6" s="218"/>
      <c r="M6" s="218"/>
      <c r="N6" s="218"/>
    </row>
    <row r="7" spans="2:14" s="71" customFormat="1" ht="14.25">
      <c r="B7" s="218"/>
      <c r="C7" s="74"/>
      <c r="D7" s="74"/>
      <c r="E7" s="74"/>
      <c r="F7" s="74"/>
      <c r="G7" s="74"/>
      <c r="H7" s="74"/>
      <c r="I7" s="74"/>
      <c r="J7" s="74"/>
      <c r="K7" s="73"/>
      <c r="L7" s="218"/>
      <c r="M7" s="218"/>
      <c r="N7" s="218"/>
    </row>
    <row r="8" spans="2:14" s="71" customFormat="1" ht="19.5" customHeight="1">
      <c r="B8" s="218"/>
      <c r="C8" s="73" t="s">
        <v>40</v>
      </c>
      <c r="D8" s="73" t="s">
        <v>41</v>
      </c>
      <c r="E8" s="73" t="s">
        <v>42</v>
      </c>
      <c r="F8" s="73" t="s">
        <v>43</v>
      </c>
      <c r="G8" s="73" t="s">
        <v>44</v>
      </c>
      <c r="H8" s="73" t="s">
        <v>45</v>
      </c>
      <c r="I8" s="73" t="s">
        <v>46</v>
      </c>
      <c r="J8" s="73" t="s">
        <v>47</v>
      </c>
      <c r="K8" s="73"/>
      <c r="L8" s="218"/>
      <c r="M8" s="218"/>
      <c r="N8" s="218"/>
    </row>
    <row r="9" spans="2:14" s="71" customFormat="1" ht="19.5" customHeight="1">
      <c r="B9" s="219"/>
      <c r="C9" s="75"/>
      <c r="D9" s="75"/>
      <c r="E9" s="75"/>
      <c r="F9" s="75"/>
      <c r="G9" s="75"/>
      <c r="H9" s="75"/>
      <c r="I9" s="75"/>
      <c r="J9" s="75"/>
      <c r="K9" s="73"/>
      <c r="L9" s="219"/>
      <c r="M9" s="219"/>
      <c r="N9" s="219"/>
    </row>
    <row r="10" spans="2:14" s="71" customFormat="1" ht="19.5" customHeight="1">
      <c r="B10" s="76"/>
      <c r="C10" s="77"/>
      <c r="D10" s="77"/>
      <c r="E10" s="77"/>
      <c r="F10" s="77"/>
      <c r="G10" s="77"/>
      <c r="H10" s="77"/>
      <c r="I10" s="77"/>
      <c r="J10" s="77"/>
      <c r="K10" s="76"/>
      <c r="L10" s="77"/>
      <c r="M10" s="77"/>
      <c r="N10" s="76"/>
    </row>
    <row r="11" spans="2:14" ht="12" customHeight="1">
      <c r="B11" s="78">
        <v>2018</v>
      </c>
      <c r="C11" s="79">
        <v>147.21712152581699</v>
      </c>
      <c r="D11" s="79">
        <v>547.50203588681904</v>
      </c>
      <c r="E11" s="79">
        <v>264.54233719179399</v>
      </c>
      <c r="F11" s="79">
        <v>132.80911443628801</v>
      </c>
      <c r="G11" s="79">
        <v>183.425715226802</v>
      </c>
      <c r="H11" s="79">
        <v>639.82892982621297</v>
      </c>
      <c r="I11" s="79">
        <v>272.236256979735</v>
      </c>
      <c r="J11" s="79">
        <v>5162.6300371729703</v>
      </c>
      <c r="K11" s="78"/>
      <c r="L11" s="79">
        <v>469.42610656251998</v>
      </c>
      <c r="M11" s="79">
        <v>358.80203118137899</v>
      </c>
      <c r="N11" s="78">
        <v>2018</v>
      </c>
    </row>
    <row r="12" spans="2:14" ht="12" customHeight="1">
      <c r="B12" s="76" t="s">
        <v>48</v>
      </c>
      <c r="C12" s="77">
        <v>116.60869565217401</v>
      </c>
      <c r="D12" s="77">
        <v>348.73913043478302</v>
      </c>
      <c r="E12" s="77">
        <v>207.91304347826099</v>
      </c>
      <c r="F12" s="77">
        <v>105.695652173913</v>
      </c>
      <c r="G12" s="77">
        <v>152.39130434782601</v>
      </c>
      <c r="H12" s="77">
        <v>431.95652173912998</v>
      </c>
      <c r="I12" s="77">
        <v>224.73913043478299</v>
      </c>
      <c r="J12" s="77">
        <v>4670.5652173913004</v>
      </c>
      <c r="K12" s="76"/>
      <c r="L12" s="77">
        <v>392.21739130434798</v>
      </c>
      <c r="M12" s="77">
        <v>285.56521739130397</v>
      </c>
      <c r="N12" s="76" t="s">
        <v>49</v>
      </c>
    </row>
    <row r="13" spans="2:14" ht="12" customHeight="1">
      <c r="B13" s="76" t="s">
        <v>50</v>
      </c>
      <c r="C13" s="77">
        <v>132.19999999999999</v>
      </c>
      <c r="D13" s="77">
        <v>400.9</v>
      </c>
      <c r="E13" s="77">
        <v>227.35</v>
      </c>
      <c r="F13" s="77">
        <v>117.25</v>
      </c>
      <c r="G13" s="77">
        <v>173.25</v>
      </c>
      <c r="H13" s="77">
        <v>495</v>
      </c>
      <c r="I13" s="77">
        <v>233.25</v>
      </c>
      <c r="J13" s="77">
        <v>4770.1499999999996</v>
      </c>
      <c r="K13" s="76"/>
      <c r="L13" s="77">
        <v>419.95</v>
      </c>
      <c r="M13" s="77">
        <v>308.75</v>
      </c>
      <c r="N13" s="76" t="s">
        <v>50</v>
      </c>
    </row>
    <row r="14" spans="2:14" ht="12" customHeight="1">
      <c r="B14" s="76" t="s">
        <v>51</v>
      </c>
      <c r="C14" s="77">
        <v>147.04545454545499</v>
      </c>
      <c r="D14" s="77">
        <v>412.5</v>
      </c>
      <c r="E14" s="77">
        <v>233.68181818181799</v>
      </c>
      <c r="F14" s="77">
        <v>123.272727272727</v>
      </c>
      <c r="G14" s="77">
        <v>178.90909090909099</v>
      </c>
      <c r="H14" s="77">
        <v>545.95454545454595</v>
      </c>
      <c r="I14" s="77">
        <v>245.81818181818201</v>
      </c>
      <c r="J14" s="77">
        <v>4302.3181818181802</v>
      </c>
      <c r="K14" s="76"/>
      <c r="L14" s="77">
        <v>422.95454545454498</v>
      </c>
      <c r="M14" s="77">
        <v>319.18181818181802</v>
      </c>
      <c r="N14" s="76" t="s">
        <v>51</v>
      </c>
    </row>
    <row r="15" spans="2:14" ht="12" customHeight="1">
      <c r="B15" s="76" t="s">
        <v>52</v>
      </c>
      <c r="C15" s="77">
        <v>145.23809523809501</v>
      </c>
      <c r="D15" s="77">
        <v>408.57142857142901</v>
      </c>
      <c r="E15" s="77">
        <v>234.28571428571399</v>
      </c>
      <c r="F15" s="77">
        <v>123.95238095238101</v>
      </c>
      <c r="G15" s="77">
        <v>173.28571428571399</v>
      </c>
      <c r="H15" s="77">
        <v>593.90476190476204</v>
      </c>
      <c r="I15" s="77">
        <v>245.38095238095201</v>
      </c>
      <c r="J15" s="77">
        <v>4237</v>
      </c>
      <c r="K15" s="76"/>
      <c r="L15" s="77">
        <v>421.90476190476198</v>
      </c>
      <c r="M15" s="77">
        <v>322.47619047619003</v>
      </c>
      <c r="N15" s="76" t="s">
        <v>53</v>
      </c>
    </row>
    <row r="16" spans="2:14" ht="12" customHeight="1">
      <c r="B16" s="76" t="s">
        <v>54</v>
      </c>
      <c r="C16" s="77">
        <v>157.695652173913</v>
      </c>
      <c r="D16" s="77">
        <v>469.21739130434798</v>
      </c>
      <c r="E16" s="77">
        <v>260</v>
      </c>
      <c r="F16" s="77">
        <v>135.65217391304299</v>
      </c>
      <c r="G16" s="77">
        <v>189.91304347826099</v>
      </c>
      <c r="H16" s="77">
        <v>684.60869565217399</v>
      </c>
      <c r="I16" s="77">
        <v>268.52173913043498</v>
      </c>
      <c r="J16" s="77">
        <v>4460.1739130434798</v>
      </c>
      <c r="K16" s="76"/>
      <c r="L16" s="77">
        <v>458.13043478260897</v>
      </c>
      <c r="M16" s="77">
        <v>352.304347826087</v>
      </c>
      <c r="N16" s="76" t="s">
        <v>54</v>
      </c>
    </row>
    <row r="17" spans="2:14" ht="12" customHeight="1">
      <c r="B17" s="76" t="s">
        <v>55</v>
      </c>
      <c r="C17" s="77">
        <v>163.333333333333</v>
      </c>
      <c r="D17" s="77">
        <v>529.142857142857</v>
      </c>
      <c r="E17" s="77">
        <v>318.80952380952402</v>
      </c>
      <c r="F17" s="77">
        <v>142.19047619047601</v>
      </c>
      <c r="G17" s="77">
        <v>199.71428571428601</v>
      </c>
      <c r="H17" s="77">
        <v>714.76190476190504</v>
      </c>
      <c r="I17" s="77">
        <v>292.66666666666703</v>
      </c>
      <c r="J17" s="77">
        <v>4711.0476190476202</v>
      </c>
      <c r="K17" s="76"/>
      <c r="L17" s="77">
        <v>485.66666666666703</v>
      </c>
      <c r="M17" s="77">
        <v>376.95238095238102</v>
      </c>
      <c r="N17" s="76" t="s">
        <v>55</v>
      </c>
    </row>
    <row r="18" spans="2:14" ht="12" customHeight="1">
      <c r="B18" s="76" t="s">
        <v>56</v>
      </c>
      <c r="C18" s="77">
        <v>150.95454545454501</v>
      </c>
      <c r="D18" s="77">
        <v>572.13636363636397</v>
      </c>
      <c r="E18" s="77">
        <v>289.13636363636402</v>
      </c>
      <c r="F18" s="77">
        <v>137.272727272727</v>
      </c>
      <c r="G18" s="77">
        <v>180.772727272727</v>
      </c>
      <c r="H18" s="77">
        <v>653.72727272727298</v>
      </c>
      <c r="I18" s="77">
        <v>268.31818181818198</v>
      </c>
      <c r="J18" s="77">
        <v>4985.9545454545496</v>
      </c>
      <c r="K18" s="76"/>
      <c r="L18" s="77">
        <v>470.95454545454498</v>
      </c>
      <c r="M18" s="77">
        <v>365.81818181818198</v>
      </c>
      <c r="N18" s="76" t="s">
        <v>56</v>
      </c>
    </row>
    <row r="19" spans="2:14" ht="12" customHeight="1">
      <c r="B19" s="76" t="s">
        <v>57</v>
      </c>
      <c r="C19" s="77">
        <v>149.26086956521701</v>
      </c>
      <c r="D19" s="77">
        <v>668.47826086956502</v>
      </c>
      <c r="E19" s="77">
        <v>299.52173913043498</v>
      </c>
      <c r="F19" s="77">
        <v>139.39130434782601</v>
      </c>
      <c r="G19" s="77">
        <v>182.39130434782601</v>
      </c>
      <c r="H19" s="77">
        <v>680.08695652173901</v>
      </c>
      <c r="I19" s="77">
        <v>278.91304347826099</v>
      </c>
      <c r="J19" s="77">
        <v>5363.5652173913004</v>
      </c>
      <c r="K19" s="76"/>
      <c r="L19" s="77">
        <v>493.304347826087</v>
      </c>
      <c r="M19" s="77">
        <v>383.04347826087002</v>
      </c>
      <c r="N19" s="76" t="s">
        <v>58</v>
      </c>
    </row>
    <row r="20" spans="2:14" ht="12" customHeight="1">
      <c r="B20" s="76" t="s">
        <v>59</v>
      </c>
      <c r="C20" s="77">
        <v>139.9</v>
      </c>
      <c r="D20" s="77">
        <v>672.7</v>
      </c>
      <c r="E20" s="77">
        <v>314.39999999999998</v>
      </c>
      <c r="F20" s="77">
        <v>133.55000000000001</v>
      </c>
      <c r="G20" s="77">
        <v>177.05</v>
      </c>
      <c r="H20" s="77">
        <v>691.75</v>
      </c>
      <c r="I20" s="77">
        <v>269.85000000000002</v>
      </c>
      <c r="J20" s="77">
        <v>6076.9</v>
      </c>
      <c r="K20" s="76"/>
      <c r="L20" s="77">
        <v>497.5</v>
      </c>
      <c r="M20" s="77">
        <v>385.35</v>
      </c>
      <c r="N20" s="76" t="s">
        <v>60</v>
      </c>
    </row>
    <row r="21" spans="2:14" ht="12" customHeight="1">
      <c r="B21" s="76" t="s">
        <v>61</v>
      </c>
      <c r="C21" s="77">
        <v>142.695652173913</v>
      </c>
      <c r="D21" s="77">
        <v>658.60869565217399</v>
      </c>
      <c r="E21" s="77">
        <v>263.17391304347802</v>
      </c>
      <c r="F21" s="77">
        <v>128.826086956522</v>
      </c>
      <c r="G21" s="77">
        <v>179.08695652173901</v>
      </c>
      <c r="H21" s="77">
        <v>670.39130434782601</v>
      </c>
      <c r="I21" s="77">
        <v>268.13043478260897</v>
      </c>
      <c r="J21" s="77">
        <v>5803.6086956521704</v>
      </c>
      <c r="K21" s="76"/>
      <c r="L21" s="77">
        <v>491.56521739130397</v>
      </c>
      <c r="M21" s="77">
        <v>377.21739130434798</v>
      </c>
      <c r="N21" s="76" t="s">
        <v>61</v>
      </c>
    </row>
    <row r="22" spans="2:14" ht="12" customHeight="1">
      <c r="B22" s="76" t="s">
        <v>62</v>
      </c>
      <c r="C22" s="77">
        <v>156.863636363636</v>
      </c>
      <c r="D22" s="77">
        <v>655.36363636363603</v>
      </c>
      <c r="E22" s="77">
        <v>258.04545454545502</v>
      </c>
      <c r="F22" s="77">
        <v>146.227272727273</v>
      </c>
      <c r="G22" s="77">
        <v>201.772727272727</v>
      </c>
      <c r="H22" s="77">
        <v>747.09090909090901</v>
      </c>
      <c r="I22" s="77">
        <v>326.81818181818198</v>
      </c>
      <c r="J22" s="77">
        <v>6034.1818181818198</v>
      </c>
      <c r="K22" s="76"/>
      <c r="L22" s="77">
        <v>527.72727272727298</v>
      </c>
      <c r="M22" s="77">
        <v>404.72727272727298</v>
      </c>
      <c r="N22" s="76" t="s">
        <v>62</v>
      </c>
    </row>
    <row r="23" spans="2:14" ht="12" customHeight="1">
      <c r="B23" s="76" t="s">
        <v>63</v>
      </c>
      <c r="C23" s="77">
        <v>164.80952380952399</v>
      </c>
      <c r="D23" s="77">
        <v>773.66666666666697</v>
      </c>
      <c r="E23" s="77">
        <v>268.19047619047598</v>
      </c>
      <c r="F23" s="77">
        <v>160.42857142857099</v>
      </c>
      <c r="G23" s="77">
        <v>212.57142857142901</v>
      </c>
      <c r="H23" s="77">
        <v>768.71428571428601</v>
      </c>
      <c r="I23" s="77">
        <v>344.42857142857099</v>
      </c>
      <c r="J23" s="77">
        <v>6536.0952380952403</v>
      </c>
      <c r="K23" s="76"/>
      <c r="L23" s="77">
        <v>551.23809523809496</v>
      </c>
      <c r="M23" s="77">
        <v>424.23809523809501</v>
      </c>
      <c r="N23" s="76" t="s">
        <v>64</v>
      </c>
    </row>
    <row r="24" spans="2:14" ht="12" customHeight="1">
      <c r="B24" s="76"/>
      <c r="C24" s="77"/>
      <c r="D24" s="77"/>
      <c r="E24" s="77"/>
      <c r="F24" s="77"/>
      <c r="G24" s="77"/>
      <c r="H24" s="77"/>
      <c r="I24" s="77"/>
      <c r="J24" s="77"/>
      <c r="K24" s="76"/>
      <c r="L24" s="77"/>
      <c r="M24" s="77"/>
      <c r="N24" s="76"/>
    </row>
    <row r="25" spans="2:14" ht="12" customHeight="1">
      <c r="B25" s="78">
        <v>2019</v>
      </c>
      <c r="C25" s="79">
        <v>128.66676783361601</v>
      </c>
      <c r="D25" s="79">
        <v>1316.5430281071599</v>
      </c>
      <c r="E25" s="79">
        <v>235.45476739444101</v>
      </c>
      <c r="F25" s="79">
        <v>136.29682069138599</v>
      </c>
      <c r="G25" s="79">
        <v>183.745934500282</v>
      </c>
      <c r="H25" s="79">
        <v>693.87219869502496</v>
      </c>
      <c r="I25" s="79">
        <v>318.26263567350497</v>
      </c>
      <c r="J25" s="79">
        <v>9828.5121392496294</v>
      </c>
      <c r="K25" s="78"/>
      <c r="L25" s="79">
        <v>482.50599159294802</v>
      </c>
      <c r="M25" s="79">
        <v>356.37303704749399</v>
      </c>
      <c r="N25" s="78">
        <v>2019</v>
      </c>
    </row>
    <row r="26" spans="2:14" ht="12" customHeight="1">
      <c r="B26" s="76" t="s">
        <v>48</v>
      </c>
      <c r="C26" s="77">
        <v>152.39130434782601</v>
      </c>
      <c r="D26" s="77">
        <v>704.73913043478296</v>
      </c>
      <c r="E26" s="77">
        <v>249.91304347826099</v>
      </c>
      <c r="F26" s="77">
        <v>148.91304347826099</v>
      </c>
      <c r="G26" s="77">
        <v>201.434782608696</v>
      </c>
      <c r="H26" s="77">
        <v>714.304347826087</v>
      </c>
      <c r="I26" s="77">
        <v>328.91304347826099</v>
      </c>
      <c r="J26" s="77">
        <v>5782.6086956521704</v>
      </c>
      <c r="K26" s="76"/>
      <c r="L26" s="77">
        <v>519.43478260869597</v>
      </c>
      <c r="M26" s="77">
        <v>401.43478260869603</v>
      </c>
      <c r="N26" s="76" t="s">
        <v>49</v>
      </c>
    </row>
    <row r="27" spans="2:14" ht="12" customHeight="1">
      <c r="B27" s="76" t="s">
        <v>50</v>
      </c>
      <c r="C27" s="77">
        <v>139.5</v>
      </c>
      <c r="D27" s="77">
        <v>679.85</v>
      </c>
      <c r="E27" s="77">
        <v>235.8</v>
      </c>
      <c r="F27" s="77">
        <v>135.6</v>
      </c>
      <c r="G27" s="77">
        <v>191</v>
      </c>
      <c r="H27" s="77">
        <v>655</v>
      </c>
      <c r="I27" s="77">
        <v>319.14999999999998</v>
      </c>
      <c r="J27" s="77">
        <v>4999.3999999999996</v>
      </c>
      <c r="K27" s="76"/>
      <c r="L27" s="77">
        <v>493.15</v>
      </c>
      <c r="M27" s="77">
        <v>373</v>
      </c>
      <c r="N27" s="76" t="s">
        <v>50</v>
      </c>
    </row>
    <row r="28" spans="2:14" ht="12" customHeight="1">
      <c r="B28" s="76" t="s">
        <v>51</v>
      </c>
      <c r="C28" s="77">
        <v>135.666666666667</v>
      </c>
      <c r="D28" s="77">
        <v>748.38095238095195</v>
      </c>
      <c r="E28" s="77">
        <v>241.52380952381</v>
      </c>
      <c r="F28" s="77">
        <v>132.76190476190499</v>
      </c>
      <c r="G28" s="77">
        <v>188.142857142857</v>
      </c>
      <c r="H28" s="77">
        <v>612.57142857142901</v>
      </c>
      <c r="I28" s="77">
        <v>309.47619047619003</v>
      </c>
      <c r="J28" s="77">
        <v>5191.4761904761899</v>
      </c>
      <c r="K28" s="76"/>
      <c r="L28" s="77">
        <v>488.42857142857099</v>
      </c>
      <c r="M28" s="77">
        <v>370.80952380952402</v>
      </c>
      <c r="N28" s="76" t="s">
        <v>51</v>
      </c>
    </row>
    <row r="29" spans="2:14" ht="12" customHeight="1">
      <c r="B29" s="76" t="s">
        <v>52</v>
      </c>
      <c r="C29" s="77">
        <v>122.363636363636</v>
      </c>
      <c r="D29" s="77">
        <v>839.31818181818198</v>
      </c>
      <c r="E29" s="77">
        <v>244.272727272727</v>
      </c>
      <c r="F29" s="77">
        <v>127.681818181818</v>
      </c>
      <c r="G29" s="77">
        <v>176.95454545454501</v>
      </c>
      <c r="H29" s="77">
        <v>551.04545454545496</v>
      </c>
      <c r="I29" s="77">
        <v>295.22727272727298</v>
      </c>
      <c r="J29" s="77">
        <v>5393.2272727272702</v>
      </c>
      <c r="K29" s="76"/>
      <c r="L29" s="77">
        <v>486.13636363636402</v>
      </c>
      <c r="M29" s="77">
        <v>364.13636363636402</v>
      </c>
      <c r="N29" s="76" t="s">
        <v>53</v>
      </c>
    </row>
    <row r="30" spans="2:14" ht="12" customHeight="1">
      <c r="B30" s="76" t="s">
        <v>54</v>
      </c>
      <c r="C30" s="77">
        <v>135.695652173913</v>
      </c>
      <c r="D30" s="77">
        <v>923.91304347826099</v>
      </c>
      <c r="E30" s="77">
        <v>251.60869565217399</v>
      </c>
      <c r="F30" s="77">
        <v>132.39130434782601</v>
      </c>
      <c r="G30" s="77">
        <v>190.60869565217399</v>
      </c>
      <c r="H30" s="77">
        <v>575.26086956521704</v>
      </c>
      <c r="I30" s="77">
        <v>309.26086956521698</v>
      </c>
      <c r="J30" s="77">
        <v>5552.3043478260897</v>
      </c>
      <c r="K30" s="76"/>
      <c r="L30" s="77">
        <v>505.26086956521698</v>
      </c>
      <c r="M30" s="77">
        <v>376.82608695652198</v>
      </c>
      <c r="N30" s="76" t="s">
        <v>54</v>
      </c>
    </row>
    <row r="31" spans="2:14" ht="12" customHeight="1">
      <c r="B31" s="76" t="s">
        <v>55</v>
      </c>
      <c r="C31" s="77">
        <v>129.15</v>
      </c>
      <c r="D31" s="77">
        <v>882.75</v>
      </c>
      <c r="E31" s="77">
        <v>242.25</v>
      </c>
      <c r="F31" s="77">
        <v>137.1</v>
      </c>
      <c r="G31" s="77">
        <v>189.6</v>
      </c>
      <c r="H31" s="77">
        <v>589.79999999999995</v>
      </c>
      <c r="I31" s="77">
        <v>332.55</v>
      </c>
      <c r="J31" s="77">
        <v>6012.25</v>
      </c>
      <c r="K31" s="76"/>
      <c r="L31" s="77">
        <v>509.85</v>
      </c>
      <c r="M31" s="77">
        <v>373.95</v>
      </c>
      <c r="N31" s="76" t="s">
        <v>55</v>
      </c>
    </row>
    <row r="32" spans="2:14" ht="12" customHeight="1">
      <c r="B32" s="76" t="s">
        <v>56</v>
      </c>
      <c r="C32" s="77">
        <v>116.130434782609</v>
      </c>
      <c r="D32" s="77">
        <v>789.91304347826099</v>
      </c>
      <c r="E32" s="77">
        <v>213.565217391304</v>
      </c>
      <c r="F32" s="77">
        <v>129.695652173913</v>
      </c>
      <c r="G32" s="77">
        <v>172.47826086956499</v>
      </c>
      <c r="H32" s="77">
        <v>578.21739130434798</v>
      </c>
      <c r="I32" s="77">
        <v>326.78260869565202</v>
      </c>
      <c r="J32" s="77">
        <v>10922.956521739099</v>
      </c>
      <c r="K32" s="76"/>
      <c r="L32" s="77">
        <v>508.91304347826099</v>
      </c>
      <c r="M32" s="77">
        <v>354.04347826087002</v>
      </c>
      <c r="N32" s="76" t="s">
        <v>56</v>
      </c>
    </row>
    <row r="33" spans="2:14" ht="12" customHeight="1">
      <c r="B33" s="76" t="s">
        <v>57</v>
      </c>
      <c r="C33" s="77">
        <v>127.09090909090899</v>
      </c>
      <c r="D33" s="77">
        <v>1568.3636363636399</v>
      </c>
      <c r="E33" s="77">
        <v>233.136363636364</v>
      </c>
      <c r="F33" s="77">
        <v>135.59090909090901</v>
      </c>
      <c r="G33" s="77">
        <v>187.363636363636</v>
      </c>
      <c r="H33" s="77">
        <v>706.36363636363603</v>
      </c>
      <c r="I33" s="77">
        <v>346.72727272727298</v>
      </c>
      <c r="J33" s="77">
        <v>11526.1818181818</v>
      </c>
      <c r="K33" s="76"/>
      <c r="L33" s="77">
        <v>527.81818181818198</v>
      </c>
      <c r="M33" s="77">
        <v>372.22727272727298</v>
      </c>
      <c r="N33" s="76" t="s">
        <v>58</v>
      </c>
    </row>
    <row r="34" spans="2:14" ht="12" customHeight="1">
      <c r="B34" s="76" t="s">
        <v>59</v>
      </c>
      <c r="C34" s="77">
        <v>116.428571428571</v>
      </c>
      <c r="D34" s="77">
        <v>2190.5238095238101</v>
      </c>
      <c r="E34" s="77">
        <v>227.857142857143</v>
      </c>
      <c r="F34" s="77">
        <v>131.42857142857099</v>
      </c>
      <c r="G34" s="77">
        <v>175.857142857143</v>
      </c>
      <c r="H34" s="77">
        <v>648.76190476190504</v>
      </c>
      <c r="I34" s="77">
        <v>319.80952380952402</v>
      </c>
      <c r="J34" s="77">
        <v>13204.809523809499</v>
      </c>
      <c r="K34" s="76"/>
      <c r="L34" s="77">
        <v>495.33333333333297</v>
      </c>
      <c r="M34" s="77">
        <v>346.19047619047598</v>
      </c>
      <c r="N34" s="76" t="s">
        <v>60</v>
      </c>
    </row>
    <row r="35" spans="2:14" ht="12" customHeight="1">
      <c r="B35" s="76" t="s">
        <v>61</v>
      </c>
      <c r="C35" s="77">
        <v>126.913043478261</v>
      </c>
      <c r="D35" s="77">
        <v>2098.6086956521699</v>
      </c>
      <c r="E35" s="77">
        <v>235.47826086956499</v>
      </c>
      <c r="F35" s="77">
        <v>136.08695652173901</v>
      </c>
      <c r="G35" s="77">
        <v>178.60869565217399</v>
      </c>
      <c r="H35" s="77">
        <v>765.65217391304395</v>
      </c>
      <c r="I35" s="77">
        <v>308.86956521739103</v>
      </c>
      <c r="J35" s="77">
        <v>19515.130434782601</v>
      </c>
      <c r="K35" s="76"/>
      <c r="L35" s="77">
        <v>460</v>
      </c>
      <c r="M35" s="77">
        <v>335.304347826087</v>
      </c>
      <c r="N35" s="76" t="s">
        <v>61</v>
      </c>
    </row>
    <row r="36" spans="2:14" ht="12" customHeight="1">
      <c r="B36" s="76" t="s">
        <v>62</v>
      </c>
      <c r="C36" s="77">
        <v>126.761904761905</v>
      </c>
      <c r="D36" s="77">
        <v>2336.4285714285702</v>
      </c>
      <c r="E36" s="77">
        <v>230.142857142857</v>
      </c>
      <c r="F36" s="77">
        <v>145.857142857143</v>
      </c>
      <c r="G36" s="77">
        <v>181.857142857143</v>
      </c>
      <c r="H36" s="77">
        <v>991.76190476190504</v>
      </c>
      <c r="I36" s="77">
        <v>317.47619047619003</v>
      </c>
      <c r="J36" s="77">
        <v>15691.619047619</v>
      </c>
      <c r="K36" s="76"/>
      <c r="L36" s="77">
        <v>427.42857142857099</v>
      </c>
      <c r="M36" s="77">
        <v>318.19047619047598</v>
      </c>
      <c r="N36" s="76" t="s">
        <v>62</v>
      </c>
    </row>
    <row r="37" spans="2:14" ht="12" customHeight="1">
      <c r="B37" s="76" t="s">
        <v>63</v>
      </c>
      <c r="C37" s="77">
        <v>115.90909090909101</v>
      </c>
      <c r="D37" s="77">
        <v>2035.72727272727</v>
      </c>
      <c r="E37" s="77">
        <v>219.90909090909099</v>
      </c>
      <c r="F37" s="77">
        <v>142.45454545454501</v>
      </c>
      <c r="G37" s="77">
        <v>171.04545454545499</v>
      </c>
      <c r="H37" s="77">
        <v>937.72727272727298</v>
      </c>
      <c r="I37" s="77">
        <v>304.90909090909099</v>
      </c>
      <c r="J37" s="77">
        <v>14150.1818181818</v>
      </c>
      <c r="K37" s="76"/>
      <c r="L37" s="77">
        <v>368.31818181818198</v>
      </c>
      <c r="M37" s="77">
        <v>290.36363636363598</v>
      </c>
      <c r="N37" s="76" t="s">
        <v>64</v>
      </c>
    </row>
    <row r="38" spans="2:14" ht="12" customHeight="1">
      <c r="B38" s="76"/>
      <c r="C38" s="77"/>
      <c r="D38" s="77"/>
      <c r="E38" s="77"/>
      <c r="F38" s="77"/>
      <c r="G38" s="77"/>
      <c r="H38" s="77"/>
      <c r="I38" s="77"/>
      <c r="J38" s="77"/>
      <c r="K38" s="76"/>
      <c r="L38" s="77"/>
      <c r="M38" s="77"/>
      <c r="N38" s="76"/>
    </row>
    <row r="39" spans="2:14" ht="12" customHeight="1">
      <c r="B39" s="78">
        <v>2020</v>
      </c>
      <c r="C39" s="79">
        <v>173.441584321476</v>
      </c>
      <c r="D39" s="79">
        <v>2235.2225829725799</v>
      </c>
      <c r="E39" s="79">
        <v>316.49457933371002</v>
      </c>
      <c r="F39" s="79">
        <v>196.95915051132499</v>
      </c>
      <c r="G39" s="79">
        <v>261.42800207039301</v>
      </c>
      <c r="H39" s="79">
        <v>2371.90549830604</v>
      </c>
      <c r="I39" s="79">
        <v>474.47039808018098</v>
      </c>
      <c r="J39" s="79">
        <v>23796.487835654701</v>
      </c>
      <c r="K39" s="78"/>
      <c r="L39" s="79">
        <v>503.74342101135602</v>
      </c>
      <c r="M39" s="79">
        <v>405.72759975531699</v>
      </c>
      <c r="N39" s="78">
        <v>2020</v>
      </c>
    </row>
    <row r="40" spans="2:14" ht="12" customHeight="1">
      <c r="B40" s="76" t="s">
        <v>48</v>
      </c>
      <c r="C40" s="77">
        <v>113.869565217391</v>
      </c>
      <c r="D40" s="77">
        <v>1919.73913043478</v>
      </c>
      <c r="E40" s="77">
        <v>216.52173913043501</v>
      </c>
      <c r="F40" s="77">
        <v>142.73913043478299</v>
      </c>
      <c r="G40" s="77">
        <v>170.08695652173901</v>
      </c>
      <c r="H40" s="77">
        <v>863.17391304347802</v>
      </c>
      <c r="I40" s="77">
        <v>297.60869565217399</v>
      </c>
      <c r="J40" s="77">
        <v>15916</v>
      </c>
      <c r="K40" s="76"/>
      <c r="L40" s="77">
        <v>358</v>
      </c>
      <c r="M40" s="77">
        <v>285.95652173912998</v>
      </c>
      <c r="N40" s="76" t="s">
        <v>49</v>
      </c>
    </row>
    <row r="41" spans="2:14" ht="12" customHeight="1">
      <c r="B41" s="76" t="s">
        <v>50</v>
      </c>
      <c r="C41" s="77">
        <v>122.2</v>
      </c>
      <c r="D41" s="77">
        <v>2017.15</v>
      </c>
      <c r="E41" s="77">
        <v>209.45</v>
      </c>
      <c r="F41" s="77">
        <v>146.80000000000001</v>
      </c>
      <c r="G41" s="77">
        <v>172.7</v>
      </c>
      <c r="H41" s="77">
        <v>1190.5999999999999</v>
      </c>
      <c r="I41" s="77">
        <v>306.39999999999998</v>
      </c>
      <c r="J41" s="77">
        <v>14405.5</v>
      </c>
      <c r="K41" s="76"/>
      <c r="L41" s="77">
        <v>370.45</v>
      </c>
      <c r="M41" s="77">
        <v>297.89999999999998</v>
      </c>
      <c r="N41" s="76" t="s">
        <v>50</v>
      </c>
    </row>
    <row r="42" spans="2:14" ht="12" customHeight="1">
      <c r="B42" s="76" t="s">
        <v>51</v>
      </c>
      <c r="C42" s="77">
        <v>248.90909090909099</v>
      </c>
      <c r="D42" s="77">
        <v>3375.8181818181802</v>
      </c>
      <c r="E42" s="77">
        <v>350.72727272727298</v>
      </c>
      <c r="F42" s="77">
        <v>287.31818181818198</v>
      </c>
      <c r="G42" s="77">
        <v>345.18181818181802</v>
      </c>
      <c r="H42" s="77">
        <v>3648.6818181818198</v>
      </c>
      <c r="I42" s="77">
        <v>557.31818181818198</v>
      </c>
      <c r="J42" s="77">
        <v>14608.4545454545</v>
      </c>
      <c r="K42" s="76"/>
      <c r="L42" s="77">
        <v>627.22727272727298</v>
      </c>
      <c r="M42" s="77">
        <v>505.90909090909099</v>
      </c>
      <c r="N42" s="76" t="s">
        <v>51</v>
      </c>
    </row>
    <row r="43" spans="2:14" ht="12" customHeight="1">
      <c r="B43" s="76" t="s">
        <v>52</v>
      </c>
      <c r="C43" s="77">
        <v>277.95454545454498</v>
      </c>
      <c r="D43" s="77">
        <v>3802.9090909090901</v>
      </c>
      <c r="E43" s="77">
        <v>419.5</v>
      </c>
      <c r="F43" s="77">
        <v>306.13636363636402</v>
      </c>
      <c r="G43" s="77">
        <v>388.86363636363598</v>
      </c>
      <c r="H43" s="77">
        <v>5060.9545454545496</v>
      </c>
      <c r="I43" s="77">
        <v>673.59090909090901</v>
      </c>
      <c r="J43" s="77">
        <v>19162.8636363636</v>
      </c>
      <c r="K43" s="76"/>
      <c r="L43" s="77">
        <v>731.90909090909099</v>
      </c>
      <c r="M43" s="77">
        <v>577.54545454545496</v>
      </c>
      <c r="N43" s="76" t="s">
        <v>53</v>
      </c>
    </row>
    <row r="44" spans="2:14" ht="12" customHeight="1">
      <c r="B44" s="76" t="s">
        <v>54</v>
      </c>
      <c r="C44" s="77">
        <v>222.35</v>
      </c>
      <c r="D44" s="77">
        <v>3011.85</v>
      </c>
      <c r="E44" s="77">
        <v>415.85</v>
      </c>
      <c r="F44" s="77">
        <v>254.9</v>
      </c>
      <c r="G44" s="77">
        <v>337.7</v>
      </c>
      <c r="H44" s="77">
        <v>4308.55</v>
      </c>
      <c r="I44" s="77">
        <v>593</v>
      </c>
      <c r="J44" s="77">
        <v>25405.65</v>
      </c>
      <c r="K44" s="76"/>
      <c r="L44" s="77">
        <v>642.9</v>
      </c>
      <c r="M44" s="77">
        <v>516.04999999999995</v>
      </c>
      <c r="N44" s="76" t="s">
        <v>54</v>
      </c>
    </row>
    <row r="45" spans="2:14" ht="12" customHeight="1">
      <c r="B45" s="76" t="s">
        <v>55</v>
      </c>
      <c r="C45" s="77">
        <v>180.136363636364</v>
      </c>
      <c r="D45" s="77">
        <v>2538.5909090909099</v>
      </c>
      <c r="E45" s="77">
        <v>365.22727272727298</v>
      </c>
      <c r="F45" s="77">
        <v>209.18181818181799</v>
      </c>
      <c r="G45" s="77">
        <v>287.31818181818198</v>
      </c>
      <c r="H45" s="77">
        <v>3296.7272727272698</v>
      </c>
      <c r="I45" s="77">
        <v>507.13636363636402</v>
      </c>
      <c r="J45" s="77">
        <v>29970.1363636364</v>
      </c>
      <c r="K45" s="76"/>
      <c r="L45" s="77">
        <v>547.59090909090901</v>
      </c>
      <c r="M45" s="77">
        <v>430.27272727272702</v>
      </c>
      <c r="N45" s="76" t="s">
        <v>55</v>
      </c>
    </row>
    <row r="46" spans="2:14" ht="12" customHeight="1">
      <c r="B46" s="76" t="s">
        <v>56</v>
      </c>
      <c r="C46" s="77">
        <v>169.34782608695701</v>
      </c>
      <c r="D46" s="77">
        <v>2331.1739130434798</v>
      </c>
      <c r="E46" s="77">
        <v>354.60869565217399</v>
      </c>
      <c r="F46" s="77">
        <v>200.304347826087</v>
      </c>
      <c r="G46" s="77">
        <v>272.47826086956502</v>
      </c>
      <c r="H46" s="77">
        <v>2852.6086956521699</v>
      </c>
      <c r="I46" s="77">
        <v>506.34782608695701</v>
      </c>
      <c r="J46" s="77">
        <v>31066.217391304301</v>
      </c>
      <c r="K46" s="76"/>
      <c r="L46" s="77">
        <v>520.86956521739103</v>
      </c>
      <c r="M46" s="77">
        <v>415.82608695652198</v>
      </c>
      <c r="N46" s="76" t="s">
        <v>56</v>
      </c>
    </row>
    <row r="47" spans="2:14" ht="12" customHeight="1">
      <c r="B47" s="76" t="s">
        <v>57</v>
      </c>
      <c r="C47" s="77">
        <v>145.636363636364</v>
      </c>
      <c r="D47" s="77">
        <v>2119.45454545455</v>
      </c>
      <c r="E47" s="77">
        <v>315.36363636363598</v>
      </c>
      <c r="F47" s="77">
        <v>170.18181818181799</v>
      </c>
      <c r="G47" s="77">
        <v>241.136363636364</v>
      </c>
      <c r="H47" s="77">
        <v>2751.6363636363599</v>
      </c>
      <c r="I47" s="77">
        <v>468.45454545454498</v>
      </c>
      <c r="J47" s="77">
        <v>33695</v>
      </c>
      <c r="K47" s="76"/>
      <c r="L47" s="77">
        <v>478.40909090909099</v>
      </c>
      <c r="M47" s="77">
        <v>383.22727272727298</v>
      </c>
      <c r="N47" s="76" t="s">
        <v>58</v>
      </c>
    </row>
    <row r="48" spans="2:14" ht="12" customHeight="1">
      <c r="B48" s="76" t="s">
        <v>59</v>
      </c>
      <c r="C48" s="77">
        <v>160.40909090909099</v>
      </c>
      <c r="D48" s="77">
        <v>1532.8181818181799</v>
      </c>
      <c r="E48" s="77">
        <v>314.95454545454498</v>
      </c>
      <c r="F48" s="77">
        <v>176.5</v>
      </c>
      <c r="G48" s="77">
        <v>253.59090909090901</v>
      </c>
      <c r="H48" s="77">
        <v>1435.8636363636399</v>
      </c>
      <c r="I48" s="77">
        <v>481</v>
      </c>
      <c r="J48" s="77">
        <v>30707.727272727301</v>
      </c>
      <c r="K48" s="76"/>
      <c r="L48" s="77">
        <v>466.77272727272702</v>
      </c>
      <c r="M48" s="77">
        <v>385.86363636363598</v>
      </c>
      <c r="N48" s="76" t="s">
        <v>60</v>
      </c>
    </row>
    <row r="49" spans="2:14" ht="12" customHeight="1">
      <c r="B49" s="76" t="s">
        <v>61</v>
      </c>
      <c r="C49" s="77">
        <v>150.18181818181799</v>
      </c>
      <c r="D49" s="77">
        <v>1406.3181818181799</v>
      </c>
      <c r="E49" s="77">
        <v>307.54545454545502</v>
      </c>
      <c r="F49" s="77">
        <v>167.54545454545499</v>
      </c>
      <c r="G49" s="77">
        <v>240.40909090909099</v>
      </c>
      <c r="H49" s="77">
        <v>983.31818181818198</v>
      </c>
      <c r="I49" s="77">
        <v>478.27272727272702</v>
      </c>
      <c r="J49" s="77">
        <v>25131.772727272699</v>
      </c>
      <c r="K49" s="76"/>
      <c r="L49" s="77">
        <v>462.27272727272702</v>
      </c>
      <c r="M49" s="77">
        <v>382.86363636363598</v>
      </c>
      <c r="N49" s="76" t="s">
        <v>61</v>
      </c>
    </row>
    <row r="50" spans="2:14" ht="12" customHeight="1">
      <c r="B50" s="76" t="s">
        <v>62</v>
      </c>
      <c r="C50" s="77">
        <v>147</v>
      </c>
      <c r="D50" s="77">
        <v>1376.7619047619</v>
      </c>
      <c r="E50" s="77">
        <v>273.142857142857</v>
      </c>
      <c r="F50" s="77">
        <v>155.38095238095201</v>
      </c>
      <c r="G50" s="77">
        <v>217.71428571428601</v>
      </c>
      <c r="H50" s="77">
        <v>1027.1428571428601</v>
      </c>
      <c r="I50" s="77">
        <v>432.42857142857099</v>
      </c>
      <c r="J50" s="77">
        <v>21582.619047618999</v>
      </c>
      <c r="K50" s="76"/>
      <c r="L50" s="77">
        <v>431.47619047619003</v>
      </c>
      <c r="M50" s="77">
        <v>355.142857142857</v>
      </c>
      <c r="N50" s="76" t="s">
        <v>62</v>
      </c>
    </row>
    <row r="51" spans="2:14" ht="12" customHeight="1">
      <c r="B51" s="76" t="s">
        <v>63</v>
      </c>
      <c r="C51" s="77">
        <v>143.304347826087</v>
      </c>
      <c r="D51" s="77">
        <v>1390.0869565217399</v>
      </c>
      <c r="E51" s="77">
        <v>255.04347826086999</v>
      </c>
      <c r="F51" s="77">
        <v>146.52173913043501</v>
      </c>
      <c r="G51" s="77">
        <v>209.95652173913001</v>
      </c>
      <c r="H51" s="77">
        <v>1043.6086956521699</v>
      </c>
      <c r="I51" s="77">
        <v>392.08695652173901</v>
      </c>
      <c r="J51" s="77">
        <v>23905.9130434783</v>
      </c>
      <c r="K51" s="76"/>
      <c r="L51" s="77">
        <v>407.04347826087002</v>
      </c>
      <c r="M51" s="77">
        <v>332.17391304347802</v>
      </c>
      <c r="N51" s="76" t="s">
        <v>64</v>
      </c>
    </row>
    <row r="52" spans="2:14" ht="12" customHeight="1">
      <c r="B52" s="76"/>
      <c r="C52" s="77"/>
      <c r="D52" s="77"/>
      <c r="E52" s="77"/>
      <c r="F52" s="77"/>
      <c r="G52" s="77"/>
      <c r="H52" s="77"/>
      <c r="I52" s="77"/>
      <c r="J52" s="77"/>
      <c r="K52" s="76"/>
      <c r="L52" s="77"/>
      <c r="M52" s="77"/>
      <c r="N52" s="76"/>
    </row>
    <row r="53" spans="2:14" ht="12" customHeight="1">
      <c r="B53" s="78">
        <v>2021</v>
      </c>
      <c r="C53" s="79">
        <v>155.53512767425801</v>
      </c>
      <c r="D53" s="79">
        <v>1514.0979484283801</v>
      </c>
      <c r="E53" s="79">
        <v>261.13278593387298</v>
      </c>
      <c r="F53" s="79">
        <v>133.31811907898901</v>
      </c>
      <c r="G53" s="79">
        <v>225.532182069139</v>
      </c>
      <c r="H53" s="79">
        <v>1005.20434782609</v>
      </c>
      <c r="I53" s="79">
        <v>350.58055085011603</v>
      </c>
      <c r="J53" s="79">
        <v>25245.9305477132</v>
      </c>
      <c r="K53" s="78"/>
      <c r="L53" s="79">
        <v>384.553739255913</v>
      </c>
      <c r="M53" s="79">
        <v>316.98269182508301</v>
      </c>
      <c r="N53" s="78">
        <v>2021</v>
      </c>
    </row>
    <row r="54" spans="2:14" ht="12" customHeight="1">
      <c r="B54" s="76" t="s">
        <v>48</v>
      </c>
      <c r="C54" s="77">
        <v>131.61904761904799</v>
      </c>
      <c r="D54" s="77">
        <v>1420.9047619047601</v>
      </c>
      <c r="E54" s="77">
        <v>265.142857142857</v>
      </c>
      <c r="F54" s="77">
        <v>140.857142857143</v>
      </c>
      <c r="G54" s="77">
        <v>216.42857142857099</v>
      </c>
      <c r="H54" s="77">
        <v>1181.7142857142901</v>
      </c>
      <c r="I54" s="77">
        <v>373.52380952380997</v>
      </c>
      <c r="J54" s="77">
        <v>23734.190476190499</v>
      </c>
      <c r="K54" s="76"/>
      <c r="L54" s="77">
        <v>398.76190476190499</v>
      </c>
      <c r="M54" s="77">
        <v>325.95238095238102</v>
      </c>
      <c r="N54" s="76" t="s">
        <v>49</v>
      </c>
    </row>
    <row r="55" spans="2:14" ht="12" customHeight="1">
      <c r="B55" s="76" t="s">
        <v>50</v>
      </c>
      <c r="C55" s="77">
        <v>138.1</v>
      </c>
      <c r="D55" s="77">
        <v>1470.8</v>
      </c>
      <c r="E55" s="77">
        <v>259.14999999999998</v>
      </c>
      <c r="F55" s="77">
        <v>131.5</v>
      </c>
      <c r="G55" s="77">
        <v>213.8</v>
      </c>
      <c r="H55" s="77">
        <v>1207.9000000000001</v>
      </c>
      <c r="I55" s="77">
        <v>356.6</v>
      </c>
      <c r="J55" s="77">
        <v>24678</v>
      </c>
      <c r="K55" s="76"/>
      <c r="L55" s="77">
        <v>388.7</v>
      </c>
      <c r="M55" s="77">
        <v>317.25</v>
      </c>
      <c r="N55" s="76" t="s">
        <v>50</v>
      </c>
    </row>
    <row r="56" spans="2:14" ht="12" customHeight="1">
      <c r="B56" s="76" t="s">
        <v>51</v>
      </c>
      <c r="C56" s="77">
        <v>165.08695652173901</v>
      </c>
      <c r="D56" s="77">
        <v>1565.95652173913</v>
      </c>
      <c r="E56" s="77">
        <v>281.39130434782601</v>
      </c>
      <c r="F56" s="77">
        <v>132.91304347826099</v>
      </c>
      <c r="G56" s="77">
        <v>223.304347826087</v>
      </c>
      <c r="H56" s="77">
        <v>1260.8260869565199</v>
      </c>
      <c r="I56" s="77">
        <v>356.04347826087002</v>
      </c>
      <c r="J56" s="77">
        <v>25513.739130434798</v>
      </c>
      <c r="K56" s="76"/>
      <c r="L56" s="77">
        <v>399.78260869565202</v>
      </c>
      <c r="M56" s="77">
        <v>326.26086956521698</v>
      </c>
      <c r="N56" s="76" t="s">
        <v>51</v>
      </c>
    </row>
    <row r="57" spans="2:14" ht="12" customHeight="1">
      <c r="B57" s="76" t="s">
        <v>52</v>
      </c>
      <c r="C57" s="77">
        <v>164.5</v>
      </c>
      <c r="D57" s="77">
        <v>1584.04545454545</v>
      </c>
      <c r="E57" s="77">
        <v>268.63636363636402</v>
      </c>
      <c r="F57" s="77">
        <v>125.59090909090899</v>
      </c>
      <c r="G57" s="77">
        <v>220.136363636364</v>
      </c>
      <c r="H57" s="77">
        <v>919</v>
      </c>
      <c r="I57" s="77">
        <v>345.86363636363598</v>
      </c>
      <c r="J57" s="77">
        <v>25198.772727272699</v>
      </c>
      <c r="K57" s="76"/>
      <c r="L57" s="77">
        <v>381.86363636363598</v>
      </c>
      <c r="M57" s="77">
        <v>317.40909090909099</v>
      </c>
      <c r="N57" s="76" t="s">
        <v>53</v>
      </c>
    </row>
    <row r="58" spans="2:14" ht="12" customHeight="1">
      <c r="B58" s="76" t="s">
        <v>54</v>
      </c>
      <c r="C58" s="77">
        <v>163.57142857142901</v>
      </c>
      <c r="D58" s="77">
        <v>1546.0476190476199</v>
      </c>
      <c r="E58" s="77">
        <v>247.80952380952399</v>
      </c>
      <c r="F58" s="77">
        <v>131.71428571428601</v>
      </c>
      <c r="G58" s="77">
        <v>236.857142857143</v>
      </c>
      <c r="H58" s="77">
        <v>734.95238095238096</v>
      </c>
      <c r="I58" s="77">
        <v>338.95238095238102</v>
      </c>
      <c r="J58" s="77">
        <v>25344.714285714301</v>
      </c>
      <c r="K58" s="76"/>
      <c r="L58" s="77">
        <v>371.71428571428601</v>
      </c>
      <c r="M58" s="77">
        <v>309.19047619047598</v>
      </c>
      <c r="N58" s="76" t="s">
        <v>54</v>
      </c>
    </row>
    <row r="59" spans="2:14" ht="12" customHeight="1">
      <c r="B59" s="76" t="s">
        <v>291</v>
      </c>
      <c r="C59" s="77">
        <v>170.333333333333</v>
      </c>
      <c r="D59" s="77">
        <v>1496.8333333333301</v>
      </c>
      <c r="E59" s="77">
        <v>244.666666666667</v>
      </c>
      <c r="F59" s="77">
        <v>137.333333333333</v>
      </c>
      <c r="G59" s="77">
        <v>242.666666666667</v>
      </c>
      <c r="H59" s="77">
        <v>726.83333333333303</v>
      </c>
      <c r="I59" s="77">
        <v>332.5</v>
      </c>
      <c r="J59" s="77">
        <v>27006.166666666701</v>
      </c>
      <c r="K59" s="76"/>
      <c r="L59" s="77">
        <v>366.5</v>
      </c>
      <c r="M59" s="77">
        <v>305.83333333333297</v>
      </c>
      <c r="N59" s="76" t="s">
        <v>291</v>
      </c>
    </row>
    <row r="60" spans="2:14" ht="12" customHeight="1">
      <c r="B60" s="80"/>
      <c r="C60" s="81"/>
      <c r="D60" s="81"/>
      <c r="E60" s="81"/>
      <c r="F60" s="81"/>
      <c r="G60" s="81"/>
      <c r="H60" s="81"/>
      <c r="I60" s="81"/>
      <c r="J60" s="81"/>
      <c r="K60" s="76"/>
      <c r="L60" s="81"/>
      <c r="M60" s="81"/>
      <c r="N60" s="80"/>
    </row>
    <row r="61" spans="2:14" ht="12" customHeight="1">
      <c r="B61" s="82" t="s">
        <v>65</v>
      </c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 t="s">
        <v>66</v>
      </c>
    </row>
    <row r="62" spans="2:14" ht="12" customHeight="1">
      <c r="B62" s="82" t="s">
        <v>67</v>
      </c>
      <c r="C62" s="82">
        <v>-9.8030303030309902</v>
      </c>
      <c r="D62" s="82">
        <v>-1041.7575757575801</v>
      </c>
      <c r="E62" s="82">
        <v>-120.56060606060601</v>
      </c>
      <c r="F62" s="82">
        <v>-71.848484848485</v>
      </c>
      <c r="G62" s="82">
        <v>-44.651515151515</v>
      </c>
      <c r="H62" s="82">
        <v>-2569.8939393939399</v>
      </c>
      <c r="I62" s="82">
        <v>-174.636363636364</v>
      </c>
      <c r="J62" s="82">
        <v>-2963.9696969697002</v>
      </c>
      <c r="K62" s="82"/>
      <c r="L62" s="82">
        <v>-181.09090909090901</v>
      </c>
      <c r="M62" s="82">
        <v>-124.43939393939399</v>
      </c>
      <c r="N62" s="82" t="s">
        <v>68</v>
      </c>
    </row>
    <row r="63" spans="2:14" ht="12" customHeight="1">
      <c r="B63" s="82" t="s">
        <v>69</v>
      </c>
      <c r="C63" s="82">
        <v>27.028985507245999</v>
      </c>
      <c r="D63" s="82">
        <v>106.74637681159</v>
      </c>
      <c r="E63" s="82">
        <v>-10.376811594203</v>
      </c>
      <c r="F63" s="82">
        <v>-9.1884057971020106</v>
      </c>
      <c r="G63" s="82">
        <v>32.710144927537002</v>
      </c>
      <c r="H63" s="82">
        <v>-316.77536231883698</v>
      </c>
      <c r="I63" s="82">
        <v>-59.586956521738998</v>
      </c>
      <c r="J63" s="82">
        <v>3100.2536231884001</v>
      </c>
      <c r="K63" s="82"/>
      <c r="L63" s="82">
        <v>-40.543478260870003</v>
      </c>
      <c r="M63" s="82">
        <v>-26.3405797101451</v>
      </c>
      <c r="N63" s="82" t="s">
        <v>70</v>
      </c>
    </row>
    <row r="64" spans="2:14" ht="12" customHeight="1">
      <c r="B64" s="82" t="s">
        <v>71</v>
      </c>
      <c r="C64" s="82">
        <v>6.76190476190399</v>
      </c>
      <c r="D64" s="82">
        <v>-49.2142857142899</v>
      </c>
      <c r="E64" s="82">
        <v>-3.1428571428569998</v>
      </c>
      <c r="F64" s="82">
        <v>5.6190476190469996</v>
      </c>
      <c r="G64" s="82">
        <v>5.8095238095239896</v>
      </c>
      <c r="H64" s="82">
        <v>-8.1190476190479295</v>
      </c>
      <c r="I64" s="82">
        <v>-6.4523809523810201</v>
      </c>
      <c r="J64" s="82">
        <v>1661.4523809524001</v>
      </c>
      <c r="K64" s="82"/>
      <c r="L64" s="82">
        <v>-5.2142857142860102</v>
      </c>
      <c r="M64" s="82">
        <v>-3.3571428571430002</v>
      </c>
      <c r="N64" s="82" t="s">
        <v>72</v>
      </c>
    </row>
    <row r="65" spans="2:14" ht="12" customHeight="1">
      <c r="B65" s="83"/>
      <c r="C65" s="83"/>
      <c r="D65" s="83"/>
      <c r="E65" s="83"/>
      <c r="F65" s="83"/>
      <c r="G65" s="83"/>
      <c r="H65" s="83"/>
      <c r="I65" s="83"/>
      <c r="J65" s="83"/>
      <c r="K65" s="82"/>
      <c r="L65" s="83"/>
      <c r="M65" s="83"/>
      <c r="N65" s="83"/>
    </row>
    <row r="67" spans="2:14">
      <c r="B67" s="67" t="s">
        <v>292</v>
      </c>
    </row>
    <row r="68" spans="2:14">
      <c r="B68" s="67" t="s">
        <v>73</v>
      </c>
    </row>
    <row r="69" spans="2:14">
      <c r="B69" s="67" t="s">
        <v>74</v>
      </c>
    </row>
    <row r="70" spans="2:14">
      <c r="B70" s="67" t="s">
        <v>75</v>
      </c>
    </row>
    <row r="71" spans="2:14">
      <c r="B71" s="67" t="s">
        <v>76</v>
      </c>
    </row>
    <row r="72" spans="2:14">
      <c r="B72" s="67" t="s">
        <v>77</v>
      </c>
    </row>
    <row r="73" spans="2:14">
      <c r="B73" s="67" t="s">
        <v>78</v>
      </c>
    </row>
    <row r="74" spans="2:14">
      <c r="B74" s="67" t="s">
        <v>79</v>
      </c>
    </row>
    <row r="75" spans="2:14">
      <c r="B75" s="67" t="s">
        <v>80</v>
      </c>
    </row>
  </sheetData>
  <mergeCells count="5">
    <mergeCell ref="B5:B9"/>
    <mergeCell ref="C5:J6"/>
    <mergeCell ref="L5:L9"/>
    <mergeCell ref="M5:M9"/>
    <mergeCell ref="N5:N9"/>
  </mergeCells>
  <hyperlinks>
    <hyperlink ref="C8" r:id="rId1" xr:uid="{24E2DAC1-DEFE-43CE-959D-DD9A23CEDDD6}"/>
    <hyperlink ref="D8" r:id="rId2" xr:uid="{2DBAD7B8-FA03-4D32-B8A7-660250CAC3A2}"/>
    <hyperlink ref="E8" r:id="rId3" xr:uid="{3BE62C71-F63B-4A3A-A8D5-AFDE61CAEC09}"/>
    <hyperlink ref="F8" r:id="rId4" xr:uid="{DAA4A918-9223-49E8-8EB4-13A7390E9983}"/>
    <hyperlink ref="G8" r:id="rId5" xr:uid="{1323EB37-D6AC-4F6D-AF92-DF3B81D3B175}"/>
    <hyperlink ref="H8" r:id="rId6" xr:uid="{E70B3B42-7B53-45B6-88D3-E631712F22ED}"/>
    <hyperlink ref="I8" r:id="rId7" xr:uid="{79D183F8-66F3-496C-9AC1-61A58EE74B52}"/>
    <hyperlink ref="J8" r:id="rId8" xr:uid="{5E3DEA23-1117-4440-B9D6-C0381E30D072}"/>
    <hyperlink ref="L5:L9" r:id="rId9" display="LATIN EMBIG Países Latinoamericanos / Latin Countries" xr:uid="{827C3D46-D360-443E-B3EB-D699DBDA46E6}"/>
    <hyperlink ref="M5:M9" r:id="rId10" display="EMBIG Países Emergentes / Emerging Countries" xr:uid="{4A333875-AC92-448D-AA9E-4B91EA80B9D4}"/>
    <hyperlink ref="B3" r:id="rId11" display="                       RISK INDICATORS FOR EMERGING COUNTRIES: Emerging Market Bond Index (EMBIG)   1/    Stripped Spread     2/   (In basis points)       3/" xr:uid="{978080DB-F2CB-49C8-87FC-43CD9DBBDFD2}"/>
  </hyperlinks>
  <printOptions horizontalCentered="1" verticalCentered="1"/>
  <pageMargins left="0.39370078740157483" right="0.39370078740157483" top="0.39370078740157483" bottom="0.19685039370078741" header="0" footer="0"/>
  <pageSetup paperSize="9" scale="62" orientation="landscape" r:id="rId1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44003-5D0B-45B6-A73D-F4E82019E25F}">
  <sheetPr>
    <tabColor rgb="FFFFFFFF"/>
  </sheetPr>
  <dimension ref="A1:E21"/>
  <sheetViews>
    <sheetView workbookViewId="0">
      <selection activeCell="B22" sqref="B22"/>
    </sheetView>
  </sheetViews>
  <sheetFormatPr baseColWidth="10" defaultRowHeight="15"/>
  <cols>
    <col min="1" max="1" width="17.5703125" bestFit="1" customWidth="1"/>
    <col min="2" max="2" width="33.85546875" bestFit="1" customWidth="1"/>
    <col min="3" max="3" width="32.42578125" bestFit="1" customWidth="1"/>
    <col min="4" max="4" width="12" bestFit="1" customWidth="1"/>
    <col min="5" max="5" width="4" bestFit="1" customWidth="1"/>
    <col min="6" max="7" width="14.7109375" bestFit="1" customWidth="1"/>
    <col min="8" max="13" width="7" bestFit="1" customWidth="1"/>
    <col min="14" max="14" width="6" bestFit="1" customWidth="1"/>
    <col min="15" max="42" width="7" bestFit="1" customWidth="1"/>
    <col min="43" max="43" width="6" bestFit="1" customWidth="1"/>
    <col min="44" max="45" width="7" bestFit="1" customWidth="1"/>
    <col min="46" max="46" width="6" bestFit="1" customWidth="1"/>
    <col min="47" max="47" width="7" bestFit="1" customWidth="1"/>
    <col min="48" max="48" width="6" bestFit="1" customWidth="1"/>
    <col min="49" max="52" width="7" bestFit="1" customWidth="1"/>
    <col min="53" max="53" width="6" bestFit="1" customWidth="1"/>
    <col min="54" max="63" width="7" bestFit="1" customWidth="1"/>
    <col min="64" max="64" width="6" bestFit="1" customWidth="1"/>
    <col min="65" max="69" width="7" bestFit="1" customWidth="1"/>
    <col min="70" max="70" width="6" bestFit="1" customWidth="1"/>
    <col min="71" max="77" width="7" bestFit="1" customWidth="1"/>
    <col min="78" max="78" width="6" bestFit="1" customWidth="1"/>
    <col min="79" max="88" width="7" bestFit="1" customWidth="1"/>
    <col min="89" max="89" width="6" bestFit="1" customWidth="1"/>
    <col min="90" max="100" width="7" bestFit="1" customWidth="1"/>
    <col min="101" max="101" width="6" bestFit="1" customWidth="1"/>
    <col min="102" max="112" width="7" bestFit="1" customWidth="1"/>
    <col min="113" max="113" width="6" bestFit="1" customWidth="1"/>
    <col min="114" max="116" width="7" bestFit="1" customWidth="1"/>
    <col min="117" max="117" width="6" bestFit="1" customWidth="1"/>
    <col min="118" max="119" width="7" bestFit="1" customWidth="1"/>
    <col min="120" max="121" width="6" bestFit="1" customWidth="1"/>
    <col min="122" max="126" width="7" bestFit="1" customWidth="1"/>
    <col min="127" max="127" width="6" bestFit="1" customWidth="1"/>
    <col min="128" max="136" width="7" bestFit="1" customWidth="1"/>
    <col min="137" max="137" width="6" bestFit="1" customWidth="1"/>
    <col min="138" max="138" width="7" bestFit="1" customWidth="1"/>
    <col min="139" max="139" width="6" bestFit="1" customWidth="1"/>
    <col min="140" max="147" width="7" bestFit="1" customWidth="1"/>
    <col min="148" max="148" width="6" bestFit="1" customWidth="1"/>
    <col min="149" max="175" width="7" bestFit="1" customWidth="1"/>
    <col min="176" max="176" width="6" bestFit="1" customWidth="1"/>
    <col min="177" max="179" width="7" bestFit="1" customWidth="1"/>
    <col min="180" max="180" width="9.5703125" bestFit="1" customWidth="1"/>
    <col min="181" max="181" width="12.5703125" bestFit="1" customWidth="1"/>
  </cols>
  <sheetData>
    <row r="1" spans="1:5">
      <c r="A1" s="168" t="s">
        <v>286</v>
      </c>
      <c r="B1" s="169">
        <v>42503</v>
      </c>
      <c r="C1" s="168"/>
    </row>
    <row r="2" spans="1:5">
      <c r="A2" t="s">
        <v>287</v>
      </c>
      <c r="B2" s="170">
        <v>44360</v>
      </c>
    </row>
    <row r="3" spans="1:5">
      <c r="B3" s="170"/>
    </row>
    <row r="4" spans="1:5">
      <c r="B4" t="s">
        <v>288</v>
      </c>
      <c r="C4" t="s">
        <v>289</v>
      </c>
    </row>
    <row r="5" spans="1:5">
      <c r="A5" t="s">
        <v>275</v>
      </c>
      <c r="B5" t="s">
        <v>276</v>
      </c>
      <c r="C5" t="s">
        <v>277</v>
      </c>
    </row>
    <row r="6" spans="1:5">
      <c r="A6" t="s">
        <v>278</v>
      </c>
      <c r="D6">
        <v>0.3534211538461538</v>
      </c>
      <c r="E6">
        <v>52</v>
      </c>
    </row>
    <row r="7" spans="1:5">
      <c r="A7" t="s">
        <v>279</v>
      </c>
      <c r="B7" s="196">
        <v>0.37730000000000002</v>
      </c>
      <c r="C7">
        <v>13</v>
      </c>
    </row>
    <row r="8" spans="1:5">
      <c r="A8" t="s">
        <v>280</v>
      </c>
      <c r="B8" s="196">
        <v>0.35888461538461536</v>
      </c>
      <c r="C8">
        <v>13</v>
      </c>
    </row>
    <row r="9" spans="1:5">
      <c r="A9" t="s">
        <v>281</v>
      </c>
      <c r="B9" s="196">
        <v>0.35104615384615384</v>
      </c>
      <c r="C9">
        <v>13</v>
      </c>
    </row>
    <row r="10" spans="1:5">
      <c r="A10" t="s">
        <v>282</v>
      </c>
      <c r="B10" s="196">
        <v>0.32645384615384615</v>
      </c>
      <c r="C10">
        <v>13</v>
      </c>
    </row>
    <row r="11" spans="1:5">
      <c r="A11" t="s">
        <v>283</v>
      </c>
      <c r="B11" s="196"/>
      <c r="D11">
        <v>0.50109999999999999</v>
      </c>
      <c r="E11">
        <v>52</v>
      </c>
    </row>
    <row r="12" spans="1:5">
      <c r="A12" t="s">
        <v>279</v>
      </c>
      <c r="B12" s="196">
        <v>0.32290000000000008</v>
      </c>
      <c r="C12">
        <v>13</v>
      </c>
    </row>
    <row r="13" spans="1:5">
      <c r="A13" t="s">
        <v>280</v>
      </c>
      <c r="B13" s="196">
        <v>0.54719230769230776</v>
      </c>
      <c r="C13">
        <v>13</v>
      </c>
    </row>
    <row r="14" spans="1:5">
      <c r="A14" t="s">
        <v>281</v>
      </c>
      <c r="B14" s="196">
        <v>0.5580076923076922</v>
      </c>
      <c r="C14">
        <v>13</v>
      </c>
    </row>
    <row r="15" spans="1:5">
      <c r="A15" t="s">
        <v>282</v>
      </c>
      <c r="B15" s="196">
        <v>0.57629999999999992</v>
      </c>
      <c r="C15">
        <v>13</v>
      </c>
    </row>
    <row r="16" spans="1:5">
      <c r="A16" t="s">
        <v>284</v>
      </c>
      <c r="B16" s="196"/>
      <c r="D16">
        <v>0.58858750000000004</v>
      </c>
      <c r="E16">
        <v>24</v>
      </c>
    </row>
    <row r="17" spans="1:5">
      <c r="A17" t="s">
        <v>279</v>
      </c>
      <c r="B17" s="196">
        <v>0.58304615384615388</v>
      </c>
      <c r="C17">
        <v>13</v>
      </c>
    </row>
    <row r="18" spans="1:5">
      <c r="A18" t="s">
        <v>280</v>
      </c>
      <c r="B18" s="196">
        <v>0.59513636363636369</v>
      </c>
      <c r="C18">
        <v>11</v>
      </c>
    </row>
    <row r="19" spans="1:5">
      <c r="A19" t="s">
        <v>285</v>
      </c>
      <c r="D19">
        <v>0.35047312252964419</v>
      </c>
      <c r="E19">
        <v>266</v>
      </c>
    </row>
    <row r="21" spans="1:5" ht="21">
      <c r="A21" t="s">
        <v>199</v>
      </c>
      <c r="B21" s="171">
        <f>SUMPRODUCT(B9:B18,C9:C18)/SUM(C9:C18)</f>
        <v>0.48030196078431375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729BD-7153-41C4-9071-0B641F2EE415}">
  <sheetPr>
    <tabColor rgb="FFFFFFFF"/>
  </sheetPr>
  <dimension ref="A1:C101"/>
  <sheetViews>
    <sheetView workbookViewId="0"/>
  </sheetViews>
  <sheetFormatPr baseColWidth="10" defaultRowHeight="12.75"/>
  <cols>
    <col min="1" max="1" width="11.42578125" style="14"/>
    <col min="2" max="2" width="22.5703125" style="15" customWidth="1"/>
    <col min="3" max="3" width="18.7109375" style="14" customWidth="1"/>
    <col min="4" max="5" width="11.42578125" style="14"/>
    <col min="6" max="6" width="13.5703125" style="14" bestFit="1" customWidth="1"/>
    <col min="7" max="8" width="12.7109375" style="14" bestFit="1" customWidth="1"/>
    <col min="9" max="16384" width="11.42578125" style="14"/>
  </cols>
  <sheetData>
    <row r="1" spans="1:3" ht="15.75">
      <c r="A1" s="14" t="s">
        <v>8</v>
      </c>
      <c r="B1" s="28" t="s">
        <v>7</v>
      </c>
      <c r="C1" s="26"/>
    </row>
    <row r="2" spans="1:3" ht="15.75">
      <c r="A2" s="14" t="s">
        <v>6</v>
      </c>
      <c r="B2" s="28" t="s">
        <v>5</v>
      </c>
      <c r="C2" s="26"/>
    </row>
    <row r="3" spans="1:3" ht="15.75">
      <c r="A3" s="14" t="s">
        <v>4</v>
      </c>
      <c r="B3" s="28" t="s">
        <v>9</v>
      </c>
      <c r="C3" s="26"/>
    </row>
    <row r="4" spans="1:3" ht="15.75">
      <c r="A4" s="29"/>
      <c r="B4" s="28" t="s">
        <v>3</v>
      </c>
      <c r="C4" s="26"/>
    </row>
    <row r="5" spans="1:3" ht="15.75">
      <c r="A5" s="14" t="s">
        <v>274</v>
      </c>
      <c r="B5" s="27"/>
      <c r="C5" s="26"/>
    </row>
    <row r="6" spans="1:3" ht="15.75">
      <c r="B6" s="27"/>
      <c r="C6" s="26"/>
    </row>
    <row r="7" spans="1:3" ht="15.75">
      <c r="A7" s="25" t="s">
        <v>2</v>
      </c>
      <c r="B7" s="20" t="s">
        <v>1</v>
      </c>
      <c r="C7" s="20" t="s">
        <v>0</v>
      </c>
    </row>
    <row r="8" spans="1:3" ht="15.75">
      <c r="A8" s="20">
        <v>1927</v>
      </c>
      <c r="B8" s="24">
        <v>3.1699999999999999E-2</v>
      </c>
      <c r="C8" s="20"/>
    </row>
    <row r="9" spans="1:3" ht="15.75">
      <c r="A9" s="20">
        <v>1928</v>
      </c>
      <c r="B9" s="24">
        <v>3.4500000000000003E-2</v>
      </c>
      <c r="C9" s="23">
        <f>((B8*(1-(1+B9)^(-10))/B9+1/(1+B9)^10)-1)+B8</f>
        <v>8.354708589799302E-3</v>
      </c>
    </row>
    <row r="10" spans="1:3" ht="15.75">
      <c r="A10" s="20">
        <v>1929</v>
      </c>
      <c r="B10" s="24">
        <v>3.3599999999999998E-2</v>
      </c>
      <c r="C10" s="23">
        <f t="shared" ref="C10:C40" si="0">((B9*(1-(1+B10)^(-10))/B10+1/(1+B10)^10)-1)+B9</f>
        <v>4.2038041563204259E-2</v>
      </c>
    </row>
    <row r="11" spans="1:3" ht="15.75">
      <c r="A11" s="20">
        <v>1930</v>
      </c>
      <c r="B11" s="24">
        <v>3.2199999999999999E-2</v>
      </c>
      <c r="C11" s="23">
        <f t="shared" si="0"/>
        <v>4.5409314348970366E-2</v>
      </c>
    </row>
    <row r="12" spans="1:3" ht="15.75">
      <c r="A12" s="20">
        <v>1931</v>
      </c>
      <c r="B12" s="24">
        <v>3.9300000000000002E-2</v>
      </c>
      <c r="C12" s="23">
        <f t="shared" si="0"/>
        <v>-2.5588559619422531E-2</v>
      </c>
    </row>
    <row r="13" spans="1:3" ht="15.75">
      <c r="A13" s="20">
        <v>1932</v>
      </c>
      <c r="B13" s="24">
        <v>3.3500000000000002E-2</v>
      </c>
      <c r="C13" s="23">
        <f t="shared" si="0"/>
        <v>8.7903069904773257E-2</v>
      </c>
    </row>
    <row r="14" spans="1:3" ht="15.75">
      <c r="A14" s="20">
        <v>1933</v>
      </c>
      <c r="B14" s="24">
        <v>3.5299999999999998E-2</v>
      </c>
      <c r="C14" s="23">
        <f t="shared" si="0"/>
        <v>1.8552720891857361E-2</v>
      </c>
    </row>
    <row r="15" spans="1:3" ht="15.75">
      <c r="A15" s="20">
        <v>1934</v>
      </c>
      <c r="B15" s="24">
        <v>3.0099999999999998E-2</v>
      </c>
      <c r="C15" s="23">
        <f t="shared" si="0"/>
        <v>7.9634426179656104E-2</v>
      </c>
    </row>
    <row r="16" spans="1:3" ht="15.75">
      <c r="A16" s="20">
        <v>1935</v>
      </c>
      <c r="B16" s="24">
        <v>2.8400000000000002E-2</v>
      </c>
      <c r="C16" s="23">
        <f t="shared" si="0"/>
        <v>4.4720477296566127E-2</v>
      </c>
    </row>
    <row r="17" spans="1:3" ht="15.75">
      <c r="A17" s="20">
        <v>1936</v>
      </c>
      <c r="B17" s="24">
        <v>2.5899999999999999E-2</v>
      </c>
      <c r="C17" s="23">
        <f t="shared" si="0"/>
        <v>5.0178754045450601E-2</v>
      </c>
    </row>
    <row r="18" spans="1:3" ht="15.75">
      <c r="A18" s="20">
        <v>1937</v>
      </c>
      <c r="B18" s="24">
        <v>2.7300000000000001E-2</v>
      </c>
      <c r="C18" s="23">
        <f t="shared" si="0"/>
        <v>1.379146059646038E-2</v>
      </c>
    </row>
    <row r="19" spans="1:3" ht="15.75">
      <c r="A19" s="20">
        <v>1938</v>
      </c>
      <c r="B19" s="24">
        <v>2.5600000000000001E-2</v>
      </c>
      <c r="C19" s="23">
        <f t="shared" si="0"/>
        <v>4.2132485322046068E-2</v>
      </c>
    </row>
    <row r="20" spans="1:3" ht="15.75">
      <c r="A20" s="20">
        <v>1939</v>
      </c>
      <c r="B20" s="24">
        <v>2.35E-2</v>
      </c>
      <c r="C20" s="23">
        <f t="shared" si="0"/>
        <v>4.4122613942060671E-2</v>
      </c>
    </row>
    <row r="21" spans="1:3" ht="15.75">
      <c r="A21" s="20">
        <v>1940</v>
      </c>
      <c r="B21" s="24">
        <v>2.01E-2</v>
      </c>
      <c r="C21" s="23">
        <f t="shared" si="0"/>
        <v>5.4024815962845509E-2</v>
      </c>
    </row>
    <row r="22" spans="1:3" ht="15.75">
      <c r="A22" s="20">
        <v>1941</v>
      </c>
      <c r="B22" s="24">
        <v>2.47E-2</v>
      </c>
      <c r="C22" s="23">
        <f t="shared" si="0"/>
        <v>-2.0221975848580105E-2</v>
      </c>
    </row>
    <row r="23" spans="1:3" ht="15.75">
      <c r="A23" s="20">
        <v>1942</v>
      </c>
      <c r="B23" s="24">
        <v>2.4899999999999999E-2</v>
      </c>
      <c r="C23" s="23">
        <f t="shared" si="0"/>
        <v>2.2948682374484164E-2</v>
      </c>
    </row>
    <row r="24" spans="1:3" ht="15.75">
      <c r="A24" s="20">
        <v>1943</v>
      </c>
      <c r="B24" s="24">
        <v>2.4899999999999999E-2</v>
      </c>
      <c r="C24" s="23">
        <f t="shared" si="0"/>
        <v>2.4899999999999999E-2</v>
      </c>
    </row>
    <row r="25" spans="1:3" ht="15.75">
      <c r="A25" s="20">
        <v>1944</v>
      </c>
      <c r="B25" s="24">
        <v>2.4799999999999999E-2</v>
      </c>
      <c r="C25" s="23">
        <f t="shared" si="0"/>
        <v>2.5776111579070303E-2</v>
      </c>
    </row>
    <row r="26" spans="1:3" ht="15.75">
      <c r="A26" s="20">
        <v>1945</v>
      </c>
      <c r="B26" s="24">
        <v>2.3300000000000001E-2</v>
      </c>
      <c r="C26" s="23">
        <f t="shared" si="0"/>
        <v>3.8044173419237229E-2</v>
      </c>
    </row>
    <row r="27" spans="1:3" ht="15.75">
      <c r="A27" s="20">
        <v>1946</v>
      </c>
      <c r="B27" s="24">
        <v>2.24E-2</v>
      </c>
      <c r="C27" s="23">
        <f t="shared" si="0"/>
        <v>3.1283745375695685E-2</v>
      </c>
    </row>
    <row r="28" spans="1:3" ht="15.75">
      <c r="A28" s="20">
        <v>1947</v>
      </c>
      <c r="B28" s="24">
        <v>2.3900000000000001E-2</v>
      </c>
      <c r="C28" s="23">
        <f t="shared" si="0"/>
        <v>9.1969680628322358E-3</v>
      </c>
    </row>
    <row r="29" spans="1:3" ht="15.75">
      <c r="A29" s="20">
        <v>1948</v>
      </c>
      <c r="B29" s="24">
        <v>2.4400000000000002E-2</v>
      </c>
      <c r="C29" s="23">
        <f t="shared" si="0"/>
        <v>1.9510369413175046E-2</v>
      </c>
    </row>
    <row r="30" spans="1:3" ht="15.75">
      <c r="A30" s="20">
        <v>1949</v>
      </c>
      <c r="B30" s="24">
        <v>2.1899999999999999E-2</v>
      </c>
      <c r="C30" s="23">
        <f t="shared" si="0"/>
        <v>4.6634851827973139E-2</v>
      </c>
    </row>
    <row r="31" spans="1:3" ht="15.75">
      <c r="A31" s="20">
        <v>1950</v>
      </c>
      <c r="B31" s="24">
        <v>2.3900000000000001E-2</v>
      </c>
      <c r="C31" s="23">
        <f t="shared" si="0"/>
        <v>4.2959574171096103E-3</v>
      </c>
    </row>
    <row r="32" spans="1:3" ht="15.75">
      <c r="A32" s="20">
        <v>1951</v>
      </c>
      <c r="B32" s="24">
        <v>2.7E-2</v>
      </c>
      <c r="C32" s="23">
        <f t="shared" si="0"/>
        <v>-2.9531392208319886E-3</v>
      </c>
    </row>
    <row r="33" spans="1:3" ht="15.75">
      <c r="A33" s="20">
        <v>1952</v>
      </c>
      <c r="B33" s="24">
        <v>2.75E-2</v>
      </c>
      <c r="C33" s="23">
        <f t="shared" si="0"/>
        <v>2.2679961918305656E-2</v>
      </c>
    </row>
    <row r="34" spans="1:3" ht="15.75">
      <c r="A34" s="20">
        <v>1953</v>
      </c>
      <c r="B34" s="24">
        <v>2.5899999999999999E-2</v>
      </c>
      <c r="C34" s="23">
        <f t="shared" si="0"/>
        <v>4.1438402589088513E-2</v>
      </c>
    </row>
    <row r="35" spans="1:3" ht="15.75">
      <c r="A35" s="20">
        <v>1954</v>
      </c>
      <c r="B35" s="24">
        <v>2.5100000000000001E-2</v>
      </c>
      <c r="C35" s="23">
        <f t="shared" si="0"/>
        <v>3.2898034558095555E-2</v>
      </c>
    </row>
    <row r="36" spans="1:3" ht="15.75">
      <c r="A36" s="20">
        <v>1955</v>
      </c>
      <c r="B36" s="24">
        <v>2.9600000000000001E-2</v>
      </c>
      <c r="C36" s="23">
        <f t="shared" si="0"/>
        <v>-1.3364391288618781E-2</v>
      </c>
    </row>
    <row r="37" spans="1:3" ht="15.75">
      <c r="A37" s="20">
        <v>1956</v>
      </c>
      <c r="B37" s="24">
        <v>3.5900000000000001E-2</v>
      </c>
      <c r="C37" s="23">
        <f t="shared" si="0"/>
        <v>-2.2557738173154165E-2</v>
      </c>
    </row>
    <row r="38" spans="1:3" ht="15.75">
      <c r="A38" s="20">
        <v>1957</v>
      </c>
      <c r="B38" s="24">
        <v>3.2099999999999997E-2</v>
      </c>
      <c r="C38" s="23">
        <f t="shared" si="0"/>
        <v>6.7970128466249904E-2</v>
      </c>
    </row>
    <row r="39" spans="1:3" ht="15.75">
      <c r="A39" s="20">
        <v>1958</v>
      </c>
      <c r="B39" s="24">
        <v>3.8600000000000002E-2</v>
      </c>
      <c r="C39" s="23">
        <f t="shared" si="0"/>
        <v>-2.0990181755274694E-2</v>
      </c>
    </row>
    <row r="40" spans="1:3" ht="15.75">
      <c r="A40" s="20">
        <v>1959</v>
      </c>
      <c r="B40" s="24">
        <v>4.6899999999999997E-2</v>
      </c>
      <c r="C40" s="23">
        <f t="shared" si="0"/>
        <v>-2.6466312591385065E-2</v>
      </c>
    </row>
    <row r="41" spans="1:3" ht="15.75">
      <c r="A41" s="20">
        <v>1960</v>
      </c>
      <c r="B41" s="24">
        <v>3.8399999999999997E-2</v>
      </c>
      <c r="C41" s="23">
        <f t="shared" ref="C41:C72" si="1">((B40*(1-(1+B41)^(-10))/B41+1/(1+B41)^10)-1)+B40</f>
        <v>0.11639503690963365</v>
      </c>
    </row>
    <row r="42" spans="1:3" ht="15.75">
      <c r="A42" s="20">
        <v>1961</v>
      </c>
      <c r="B42" s="24">
        <v>4.0599999999999997E-2</v>
      </c>
      <c r="C42" s="23">
        <f t="shared" si="1"/>
        <v>2.0609208076323167E-2</v>
      </c>
    </row>
    <row r="43" spans="1:3" ht="15.75">
      <c r="A43" s="20">
        <v>1962</v>
      </c>
      <c r="B43" s="24">
        <v>3.8600000000000002E-2</v>
      </c>
      <c r="C43" s="23">
        <f t="shared" si="1"/>
        <v>5.693544054008462E-2</v>
      </c>
    </row>
    <row r="44" spans="1:3" ht="15.75">
      <c r="A44" s="20">
        <v>1963</v>
      </c>
      <c r="B44" s="24">
        <v>4.1300000000000003E-2</v>
      </c>
      <c r="C44" s="23">
        <f t="shared" si="1"/>
        <v>1.6841620739546127E-2</v>
      </c>
    </row>
    <row r="45" spans="1:3" ht="15.75">
      <c r="A45" s="20">
        <v>1964</v>
      </c>
      <c r="B45" s="24">
        <v>4.1799999999999997E-2</v>
      </c>
      <c r="C45" s="23">
        <f t="shared" si="1"/>
        <v>3.7280648911540815E-2</v>
      </c>
    </row>
    <row r="46" spans="1:3" ht="15.75">
      <c r="A46" s="20">
        <v>1965</v>
      </c>
      <c r="B46" s="24">
        <v>4.6199999999999998E-2</v>
      </c>
      <c r="C46" s="23">
        <f t="shared" si="1"/>
        <v>7.1885509359262342E-3</v>
      </c>
    </row>
    <row r="47" spans="1:3" ht="15.75">
      <c r="A47" s="20">
        <v>1966</v>
      </c>
      <c r="B47" s="24">
        <v>4.8399999999999999E-2</v>
      </c>
      <c r="C47" s="23">
        <f t="shared" si="1"/>
        <v>2.9079409324299622E-2</v>
      </c>
    </row>
    <row r="48" spans="1:3" ht="15.75">
      <c r="A48" s="20">
        <v>1967</v>
      </c>
      <c r="B48" s="24">
        <v>5.7000000000000002E-2</v>
      </c>
      <c r="C48" s="23">
        <f t="shared" si="1"/>
        <v>-1.5806209932824666E-2</v>
      </c>
    </row>
    <row r="49" spans="1:3" ht="15.75">
      <c r="A49" s="20">
        <v>1968</v>
      </c>
      <c r="B49" s="24">
        <v>6.0299999999999999E-2</v>
      </c>
      <c r="C49" s="23">
        <f t="shared" si="1"/>
        <v>3.2746196950768365E-2</v>
      </c>
    </row>
    <row r="50" spans="1:3" ht="15.75">
      <c r="A50" s="20">
        <v>1969</v>
      </c>
      <c r="B50" s="24">
        <v>7.6499999999999999E-2</v>
      </c>
      <c r="C50" s="23">
        <f t="shared" si="1"/>
        <v>-5.0140493209926106E-2</v>
      </c>
    </row>
    <row r="51" spans="1:3" ht="15.75">
      <c r="A51" s="20">
        <v>1970</v>
      </c>
      <c r="B51" s="24">
        <v>6.3899999999999998E-2</v>
      </c>
      <c r="C51" s="23">
        <f t="shared" si="1"/>
        <v>0.16754737183412338</v>
      </c>
    </row>
    <row r="52" spans="1:3" ht="15.75">
      <c r="A52" s="20">
        <v>1971</v>
      </c>
      <c r="B52" s="24">
        <v>5.9299999999999999E-2</v>
      </c>
      <c r="C52" s="23">
        <f t="shared" si="1"/>
        <v>9.7868966197122972E-2</v>
      </c>
    </row>
    <row r="53" spans="1:3" ht="15.75">
      <c r="A53" s="20">
        <v>1972</v>
      </c>
      <c r="B53" s="24">
        <v>6.3600000000000004E-2</v>
      </c>
      <c r="C53" s="23">
        <f t="shared" si="1"/>
        <v>2.818449050444969E-2</v>
      </c>
    </row>
    <row r="54" spans="1:3" ht="15.75">
      <c r="A54" s="20">
        <v>1973</v>
      </c>
      <c r="B54" s="24">
        <v>6.7400000000000002E-2</v>
      </c>
      <c r="C54" s="23">
        <f t="shared" si="1"/>
        <v>3.6586646024150085E-2</v>
      </c>
    </row>
    <row r="55" spans="1:3" ht="15.75">
      <c r="A55" s="20">
        <v>1974</v>
      </c>
      <c r="B55" s="24">
        <v>7.4300000000000005E-2</v>
      </c>
      <c r="C55" s="23">
        <f t="shared" si="1"/>
        <v>1.9886086932378574E-2</v>
      </c>
    </row>
    <row r="56" spans="1:3" ht="15.75">
      <c r="A56" s="20">
        <v>1975</v>
      </c>
      <c r="B56" s="24">
        <v>0.08</v>
      </c>
      <c r="C56" s="23">
        <f t="shared" si="1"/>
        <v>3.6052536026033838E-2</v>
      </c>
    </row>
    <row r="57" spans="1:3" ht="15.75">
      <c r="A57" s="20">
        <v>1976</v>
      </c>
      <c r="B57" s="24">
        <v>6.8699999999999997E-2</v>
      </c>
      <c r="C57" s="23">
        <f t="shared" si="1"/>
        <v>0.1598456074290921</v>
      </c>
    </row>
    <row r="58" spans="1:3" ht="15.75">
      <c r="A58" s="20">
        <v>1977</v>
      </c>
      <c r="B58" s="24">
        <v>7.6899999999999996E-2</v>
      </c>
      <c r="C58" s="23">
        <f t="shared" si="1"/>
        <v>1.2899606071070449E-2</v>
      </c>
    </row>
    <row r="59" spans="1:3" ht="15.75">
      <c r="A59" s="20">
        <v>1978</v>
      </c>
      <c r="B59" s="24">
        <v>9.01E-2</v>
      </c>
      <c r="C59" s="23">
        <f t="shared" si="1"/>
        <v>-7.7758069075086478E-3</v>
      </c>
    </row>
    <row r="60" spans="1:3" ht="15.75">
      <c r="A60" s="20">
        <v>1979</v>
      </c>
      <c r="B60" s="24">
        <v>0.10390000000000001</v>
      </c>
      <c r="C60" s="23">
        <f t="shared" si="1"/>
        <v>6.7072031247235459E-3</v>
      </c>
    </row>
    <row r="61" spans="1:3" ht="15.75">
      <c r="A61" s="20">
        <v>1980</v>
      </c>
      <c r="B61" s="24">
        <v>0.12839999999999999</v>
      </c>
      <c r="C61" s="23">
        <f t="shared" si="1"/>
        <v>-2.989744251999403E-2</v>
      </c>
    </row>
    <row r="62" spans="1:3" ht="15.75">
      <c r="A62" s="20">
        <v>1981</v>
      </c>
      <c r="B62" s="24">
        <v>0.13719999999999999</v>
      </c>
      <c r="C62" s="23">
        <f t="shared" si="1"/>
        <v>8.1992153358923542E-2</v>
      </c>
    </row>
    <row r="63" spans="1:3" ht="15.75">
      <c r="A63" s="20">
        <v>1982</v>
      </c>
      <c r="B63" s="24">
        <v>0.10539999999999999</v>
      </c>
      <c r="C63" s="23">
        <f t="shared" si="1"/>
        <v>0.32814549486295586</v>
      </c>
    </row>
    <row r="64" spans="1:3" ht="15.75">
      <c r="A64" s="20">
        <v>1983</v>
      </c>
      <c r="B64" s="24">
        <v>0.1183</v>
      </c>
      <c r="C64" s="23">
        <f t="shared" si="1"/>
        <v>3.2002094451429264E-2</v>
      </c>
    </row>
    <row r="65" spans="1:3" ht="15.75">
      <c r="A65" s="20">
        <v>1984</v>
      </c>
      <c r="B65" s="24">
        <v>0.115</v>
      </c>
      <c r="C65" s="23">
        <f t="shared" si="1"/>
        <v>0.13733364344102345</v>
      </c>
    </row>
    <row r="66" spans="1:3" ht="15.75">
      <c r="A66" s="20">
        <v>1985</v>
      </c>
      <c r="B66" s="24">
        <v>9.2600000000000002E-2</v>
      </c>
      <c r="C66" s="23">
        <f t="shared" si="1"/>
        <v>0.2571248821260641</v>
      </c>
    </row>
    <row r="67" spans="1:3" ht="15.75">
      <c r="A67" s="20">
        <v>1986</v>
      </c>
      <c r="B67" s="24">
        <v>7.1099999999999997E-2</v>
      </c>
      <c r="C67" s="23">
        <f t="shared" si="1"/>
        <v>0.24284215141767618</v>
      </c>
    </row>
    <row r="68" spans="1:3" ht="15.75">
      <c r="A68" s="20">
        <v>1987</v>
      </c>
      <c r="B68" s="24">
        <v>8.9899999999999994E-2</v>
      </c>
      <c r="C68" s="23">
        <f t="shared" si="1"/>
        <v>-4.9605089379262279E-2</v>
      </c>
    </row>
    <row r="69" spans="1:3" ht="15.75">
      <c r="A69" s="20">
        <v>1988</v>
      </c>
      <c r="B69" s="24">
        <v>9.11E-2</v>
      </c>
      <c r="C69" s="23">
        <f t="shared" si="1"/>
        <v>8.2235958434841674E-2</v>
      </c>
    </row>
    <row r="70" spans="1:3" ht="15.75">
      <c r="A70" s="20">
        <v>1989</v>
      </c>
      <c r="B70" s="24">
        <v>7.8399999999999997E-2</v>
      </c>
      <c r="C70" s="23">
        <f t="shared" si="1"/>
        <v>0.17693647159446219</v>
      </c>
    </row>
    <row r="71" spans="1:3" ht="15.75">
      <c r="A71" s="20">
        <v>1990</v>
      </c>
      <c r="B71" s="24">
        <v>8.0799999999999997E-2</v>
      </c>
      <c r="C71" s="23">
        <f t="shared" si="1"/>
        <v>6.2353753335533363E-2</v>
      </c>
    </row>
    <row r="72" spans="1:3" ht="15.75">
      <c r="A72" s="20">
        <v>1991</v>
      </c>
      <c r="B72" s="24">
        <v>7.0900000000000005E-2</v>
      </c>
      <c r="C72" s="23">
        <f t="shared" si="1"/>
        <v>0.15004510019517303</v>
      </c>
    </row>
    <row r="73" spans="1:3" ht="15.75">
      <c r="A73" s="20">
        <v>1992</v>
      </c>
      <c r="B73" s="24">
        <v>6.7699999999999996E-2</v>
      </c>
      <c r="C73" s="23">
        <f t="shared" ref="C73:C101" si="2">((B72*(1-(1+B73)^(-10))/B73+1/(1+B73)^10)-1)+B72</f>
        <v>9.3616373162079422E-2</v>
      </c>
    </row>
    <row r="74" spans="1:3" ht="15.75">
      <c r="A74" s="20">
        <v>1993</v>
      </c>
      <c r="B74" s="24">
        <v>5.7700000000000001E-2</v>
      </c>
      <c r="C74" s="23">
        <f t="shared" si="2"/>
        <v>0.14210957589263107</v>
      </c>
    </row>
    <row r="75" spans="1:3" ht="15.75">
      <c r="A75" s="20">
        <v>1994</v>
      </c>
      <c r="B75" s="24">
        <v>7.8100000000000003E-2</v>
      </c>
      <c r="C75" s="23">
        <f t="shared" si="2"/>
        <v>-8.0366555509985921E-2</v>
      </c>
    </row>
    <row r="76" spans="1:3" ht="15.75">
      <c r="A76" s="20">
        <v>1995</v>
      </c>
      <c r="B76" s="24">
        <v>5.7099999999999998E-2</v>
      </c>
      <c r="C76" s="23">
        <f t="shared" si="2"/>
        <v>0.23480780112538907</v>
      </c>
    </row>
    <row r="77" spans="1:3" ht="15.75">
      <c r="A77" s="20">
        <v>1996</v>
      </c>
      <c r="B77" s="24">
        <v>6.3E-2</v>
      </c>
      <c r="C77" s="23">
        <f t="shared" si="2"/>
        <v>1.428607793401844E-2</v>
      </c>
    </row>
    <row r="78" spans="1:3" ht="15.75">
      <c r="A78" s="20">
        <v>1997</v>
      </c>
      <c r="B78" s="24">
        <v>5.8099999999999999E-2</v>
      </c>
      <c r="C78" s="23">
        <f t="shared" si="2"/>
        <v>9.939130272977531E-2</v>
      </c>
    </row>
    <row r="79" spans="1:3" ht="15.75">
      <c r="A79" s="20">
        <v>1998</v>
      </c>
      <c r="B79" s="24">
        <v>4.65E-2</v>
      </c>
      <c r="C79" s="23">
        <f t="shared" si="2"/>
        <v>0.14921431922606215</v>
      </c>
    </row>
    <row r="80" spans="1:3" ht="15.75">
      <c r="A80" s="20">
        <v>1999</v>
      </c>
      <c r="B80" s="24">
        <v>6.4399999999999999E-2</v>
      </c>
      <c r="C80" s="23">
        <f t="shared" si="2"/>
        <v>-8.2542147962685761E-2</v>
      </c>
    </row>
    <row r="81" spans="1:3" ht="15.75">
      <c r="A81" s="20">
        <v>2000</v>
      </c>
      <c r="B81" s="24">
        <v>5.11E-2</v>
      </c>
      <c r="C81" s="23">
        <f t="shared" si="2"/>
        <v>0.16655267125397488</v>
      </c>
    </row>
    <row r="82" spans="1:3" ht="15.75">
      <c r="A82" s="20">
        <v>2001</v>
      </c>
      <c r="B82" s="24">
        <v>5.0500000000000003E-2</v>
      </c>
      <c r="C82" s="23">
        <f t="shared" si="2"/>
        <v>5.5721811892492555E-2</v>
      </c>
    </row>
    <row r="83" spans="1:3" ht="15.75">
      <c r="A83" s="20">
        <v>2002</v>
      </c>
      <c r="B83" s="24">
        <v>3.8199999999999998E-2</v>
      </c>
      <c r="C83" s="23">
        <f t="shared" si="2"/>
        <v>0.15116400378109285</v>
      </c>
    </row>
    <row r="84" spans="1:3" ht="15.75">
      <c r="A84" s="20">
        <v>2003</v>
      </c>
      <c r="B84" s="24">
        <v>4.2500000000000003E-2</v>
      </c>
      <c r="C84" s="23">
        <f t="shared" si="2"/>
        <v>3.7531858817758529E-3</v>
      </c>
    </row>
    <row r="85" spans="1:3" ht="15.75">
      <c r="A85" s="20">
        <v>2004</v>
      </c>
      <c r="B85" s="24">
        <v>4.2200000000000001E-2</v>
      </c>
      <c r="C85" s="23">
        <f t="shared" si="2"/>
        <v>4.490683702274547E-2</v>
      </c>
    </row>
    <row r="86" spans="1:3" ht="15.75">
      <c r="A86" s="20">
        <v>2005</v>
      </c>
      <c r="B86" s="24">
        <v>4.3900000000000002E-2</v>
      </c>
      <c r="C86" s="23">
        <f t="shared" si="2"/>
        <v>2.8675329597779506E-2</v>
      </c>
    </row>
    <row r="87" spans="1:3" ht="15.75">
      <c r="A87" s="20">
        <v>2006</v>
      </c>
      <c r="B87" s="24">
        <v>4.7E-2</v>
      </c>
      <c r="C87" s="23">
        <f t="shared" si="2"/>
        <v>1.9610012417568386E-2</v>
      </c>
    </row>
    <row r="88" spans="1:3" ht="15.75">
      <c r="A88" s="20">
        <v>2007</v>
      </c>
      <c r="B88" s="21">
        <v>4.02E-2</v>
      </c>
      <c r="C88" s="23">
        <f t="shared" si="2"/>
        <v>0.10209921930012807</v>
      </c>
    </row>
    <row r="89" spans="1:3" ht="15.75">
      <c r="A89" s="20">
        <v>2008</v>
      </c>
      <c r="B89" s="21">
        <v>2.2100000000000002E-2</v>
      </c>
      <c r="C89" s="23">
        <f t="shared" si="2"/>
        <v>0.20101279926977011</v>
      </c>
    </row>
    <row r="90" spans="1:3" ht="15.75">
      <c r="A90" s="20">
        <v>2009</v>
      </c>
      <c r="B90" s="21">
        <f>'[5]S&amp;P 500 &amp; Raw Data'!E85</f>
        <v>3.8399999999999997E-2</v>
      </c>
      <c r="C90" s="23">
        <f t="shared" si="2"/>
        <v>-0.11116695313259162</v>
      </c>
    </row>
    <row r="91" spans="1:3" ht="15.75">
      <c r="A91" s="20">
        <v>2010</v>
      </c>
      <c r="B91" s="21">
        <f>'[5]S&amp;P 500 &amp; Raw Data'!E86</f>
        <v>3.2899999999999999E-2</v>
      </c>
      <c r="C91" s="23">
        <f t="shared" si="2"/>
        <v>8.4629338803557719E-2</v>
      </c>
    </row>
    <row r="92" spans="1:3" ht="15.75">
      <c r="A92" s="20">
        <v>2011</v>
      </c>
      <c r="B92" s="21">
        <v>1.8800000000000001E-2</v>
      </c>
      <c r="C92" s="23">
        <f t="shared" si="2"/>
        <v>0.16035334999461354</v>
      </c>
    </row>
    <row r="93" spans="1:3" ht="15.75">
      <c r="A93" s="20">
        <v>2012</v>
      </c>
      <c r="B93" s="21">
        <v>1.7600000000000001E-2</v>
      </c>
      <c r="C93" s="16">
        <f t="shared" si="2"/>
        <v>2.971571978018946E-2</v>
      </c>
    </row>
    <row r="94" spans="1:3" ht="15.75">
      <c r="A94" s="20">
        <v>2013</v>
      </c>
      <c r="B94" s="21">
        <v>3.0360000000000002E-2</v>
      </c>
      <c r="C94" s="16">
        <f t="shared" si="2"/>
        <v>-9.104568794347262E-2</v>
      </c>
    </row>
    <row r="95" spans="1:3" ht="15.75">
      <c r="A95" s="20">
        <v>2014</v>
      </c>
      <c r="B95" s="22">
        <v>2.1700000000000001E-2</v>
      </c>
      <c r="C95" s="16">
        <f t="shared" si="2"/>
        <v>0.10746180452004755</v>
      </c>
    </row>
    <row r="96" spans="1:3" ht="15.75">
      <c r="A96" s="20">
        <v>2015</v>
      </c>
      <c r="B96" s="21">
        <v>2.2700000000000001E-2</v>
      </c>
      <c r="C96" s="16">
        <f t="shared" si="2"/>
        <v>1.2842996709792224E-2</v>
      </c>
    </row>
    <row r="97" spans="1:3" ht="15.75">
      <c r="A97" s="20">
        <v>2016</v>
      </c>
      <c r="B97" s="21">
        <v>2.4500000000000001E-2</v>
      </c>
      <c r="C97" s="16">
        <f t="shared" si="2"/>
        <v>6.9055046987477921E-3</v>
      </c>
    </row>
    <row r="98" spans="1:3" ht="15.75">
      <c r="A98" s="20">
        <v>2017</v>
      </c>
      <c r="B98" s="21">
        <v>2.41E-2</v>
      </c>
      <c r="C98" s="16">
        <f t="shared" si="2"/>
        <v>2.8017162707789457E-2</v>
      </c>
    </row>
    <row r="99" spans="1:3" ht="15.75">
      <c r="A99" s="20">
        <v>2018</v>
      </c>
      <c r="B99" s="21">
        <v>2.69E-2</v>
      </c>
      <c r="C99" s="16">
        <f t="shared" si="2"/>
        <v>-1.6692385713402633E-4</v>
      </c>
    </row>
    <row r="100" spans="1:3" ht="15.75">
      <c r="A100" s="20">
        <v>2019</v>
      </c>
      <c r="B100" s="19">
        <v>1.9199999999999998E-2</v>
      </c>
      <c r="C100" s="16">
        <f t="shared" si="2"/>
        <v>9.6356307415483927E-2</v>
      </c>
    </row>
    <row r="101" spans="1:3" ht="15.75">
      <c r="A101" s="18">
        <v>2020</v>
      </c>
      <c r="B101" s="17">
        <v>9.2999999999999992E-3</v>
      </c>
      <c r="C101" s="16">
        <f t="shared" si="2"/>
        <v>0.1133189764661412</v>
      </c>
    </row>
  </sheetData>
  <printOptions gridLines="1" gridLinesSet="0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4C685-7ADE-4969-971D-4A58F110A064}">
  <sheetPr>
    <tabColor rgb="FFFFFFFF"/>
  </sheetPr>
  <dimension ref="A1:T97"/>
  <sheetViews>
    <sheetView zoomScale="70" zoomScaleNormal="70" workbookViewId="0">
      <pane ySplit="9" topLeftCell="A73" activePane="bottomLeft" state="frozenSplit"/>
      <selection pane="bottomLeft"/>
    </sheetView>
  </sheetViews>
  <sheetFormatPr baseColWidth="10" defaultRowHeight="15"/>
  <cols>
    <col min="1" max="1" width="11.42578125" style="8"/>
    <col min="2" max="2" width="2" style="1" customWidth="1"/>
    <col min="3" max="3" width="33.28515625" style="1" bestFit="1" customWidth="1"/>
    <col min="4" max="4" width="6.5703125" style="1" customWidth="1"/>
    <col min="5" max="5" width="16.42578125" style="37" customWidth="1"/>
    <col min="6" max="6" width="35.42578125" style="38" customWidth="1"/>
    <col min="7" max="7" width="36" style="38" bestFit="1" customWidth="1"/>
    <col min="8" max="9" width="10" style="1" customWidth="1"/>
    <col min="10" max="16384" width="11.42578125" style="1"/>
  </cols>
  <sheetData>
    <row r="1" spans="1:20">
      <c r="A1" s="33" t="s">
        <v>13</v>
      </c>
      <c r="F1" s="37"/>
      <c r="G1" s="37"/>
    </row>
    <row r="2" spans="1:20" s="32" customFormat="1">
      <c r="B2" s="1"/>
      <c r="C2" s="1"/>
      <c r="D2" s="1"/>
      <c r="E2" s="37"/>
      <c r="F2" s="37"/>
      <c r="G2" s="3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s="32" customFormat="1">
      <c r="A3" s="8"/>
      <c r="B3" s="1"/>
      <c r="C3" s="35" t="s">
        <v>30</v>
      </c>
      <c r="D3" s="2"/>
      <c r="E3" s="35" t="s">
        <v>10</v>
      </c>
      <c r="F3" s="35" t="s">
        <v>11</v>
      </c>
      <c r="G3" s="35" t="s">
        <v>14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s="32" customFormat="1">
      <c r="A4" s="8"/>
      <c r="B4" s="1"/>
      <c r="C4" s="36">
        <f>AVERAGE($G$5:$G$97)</f>
        <v>5.2128747076616674E-2</v>
      </c>
      <c r="D4" s="2"/>
      <c r="E4" s="39">
        <f>FuenteTasaLibreDeRiesgo!A8</f>
        <v>1927</v>
      </c>
      <c r="F4" s="40">
        <f>FuenteTasaLibreDeRiesgo!B8</f>
        <v>3.1699999999999999E-2</v>
      </c>
      <c r="G4" s="41" t="s">
        <v>12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s="32" customFormat="1">
      <c r="A5" s="8"/>
      <c r="B5" s="1"/>
      <c r="C5" s="149"/>
      <c r="D5" s="1"/>
      <c r="E5" s="39">
        <f>FuenteTasaLibreDeRiesgo!A9</f>
        <v>1928</v>
      </c>
      <c r="F5" s="40">
        <f>FuenteTasaLibreDeRiesgo!B9</f>
        <v>3.4500000000000003E-2</v>
      </c>
      <c r="G5" s="42">
        <f>FuenteTasaLibreDeRiesgo!C9</f>
        <v>8.354708589799302E-3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s="32" customFormat="1">
      <c r="A6" s="8"/>
      <c r="B6" s="1"/>
      <c r="C6" s="1"/>
      <c r="D6" s="1"/>
      <c r="E6" s="39">
        <f>FuenteTasaLibreDeRiesgo!A10</f>
        <v>1929</v>
      </c>
      <c r="F6" s="43">
        <f>FuenteTasaLibreDeRiesgo!B10</f>
        <v>3.3599999999999998E-2</v>
      </c>
      <c r="G6" s="42">
        <f>FuenteTasaLibreDeRiesgo!C10</f>
        <v>4.2038041563204259E-2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s="32" customFormat="1">
      <c r="A7" s="8"/>
      <c r="B7" s="1"/>
      <c r="C7" s="1"/>
      <c r="D7" s="3"/>
      <c r="E7" s="39">
        <f>FuenteTasaLibreDeRiesgo!A11</f>
        <v>1930</v>
      </c>
      <c r="F7" s="43">
        <f>FuenteTasaLibreDeRiesgo!B11</f>
        <v>3.2199999999999999E-2</v>
      </c>
      <c r="G7" s="42">
        <f>FuenteTasaLibreDeRiesgo!C11</f>
        <v>4.5409314348970366E-2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s="32" customFormat="1">
      <c r="A8" s="8"/>
      <c r="B8" s="1"/>
      <c r="C8" s="1"/>
      <c r="D8" s="3"/>
      <c r="E8" s="39">
        <f>FuenteTasaLibreDeRiesgo!A12</f>
        <v>1931</v>
      </c>
      <c r="F8" s="43">
        <f>FuenteTasaLibreDeRiesgo!B12</f>
        <v>3.9300000000000002E-2</v>
      </c>
      <c r="G8" s="42">
        <f>FuenteTasaLibreDeRiesgo!C12</f>
        <v>-2.5588559619422531E-2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s="32" customFormat="1">
      <c r="A9" s="8"/>
      <c r="B9" s="1"/>
      <c r="C9" s="1"/>
      <c r="D9" s="1"/>
      <c r="E9" s="39">
        <f>FuenteTasaLibreDeRiesgo!A13</f>
        <v>1932</v>
      </c>
      <c r="F9" s="43">
        <f>FuenteTasaLibreDeRiesgo!B13</f>
        <v>3.3500000000000002E-2</v>
      </c>
      <c r="G9" s="42">
        <f>FuenteTasaLibreDeRiesgo!C13</f>
        <v>8.7903069904773257E-2</v>
      </c>
      <c r="H9" s="7"/>
      <c r="I9" s="7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32" customFormat="1">
      <c r="A10" s="8"/>
      <c r="B10" s="1"/>
      <c r="C10" s="1"/>
      <c r="D10" s="1"/>
      <c r="E10" s="39">
        <f>FuenteTasaLibreDeRiesgo!A14</f>
        <v>1933</v>
      </c>
      <c r="F10" s="43">
        <f>FuenteTasaLibreDeRiesgo!B14</f>
        <v>3.5299999999999998E-2</v>
      </c>
      <c r="G10" s="42">
        <f>FuenteTasaLibreDeRiesgo!C14</f>
        <v>1.8552720891857361E-2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s="32" customFormat="1">
      <c r="A11" s="8"/>
      <c r="B11" s="1"/>
      <c r="C11" s="9"/>
      <c r="D11" s="4"/>
      <c r="E11" s="39">
        <f>FuenteTasaLibreDeRiesgo!A15</f>
        <v>1934</v>
      </c>
      <c r="F11" s="43">
        <f>FuenteTasaLibreDeRiesgo!B15</f>
        <v>3.0099999999999998E-2</v>
      </c>
      <c r="G11" s="42">
        <f>FuenteTasaLibreDeRiesgo!C15</f>
        <v>7.9634426179656104E-2</v>
      </c>
      <c r="H11" s="9"/>
      <c r="I11" s="9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s="32" customFormat="1">
      <c r="A12" s="8"/>
      <c r="B12" s="1"/>
      <c r="C12" s="1"/>
      <c r="D12" s="1"/>
      <c r="E12" s="39">
        <f>FuenteTasaLibreDeRiesgo!A16</f>
        <v>1935</v>
      </c>
      <c r="F12" s="43">
        <f>FuenteTasaLibreDeRiesgo!B16</f>
        <v>2.8400000000000002E-2</v>
      </c>
      <c r="G12" s="42">
        <f>FuenteTasaLibreDeRiesgo!C16</f>
        <v>4.4720477296566127E-2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s="32" customFormat="1">
      <c r="A13" s="8"/>
      <c r="B13" s="8"/>
      <c r="C13" s="8"/>
      <c r="D13" s="1"/>
      <c r="E13" s="44">
        <f>FuenteTasaLibreDeRiesgo!A17</f>
        <v>1936</v>
      </c>
      <c r="F13" s="43">
        <f>FuenteTasaLibreDeRiesgo!B17</f>
        <v>2.5899999999999999E-2</v>
      </c>
      <c r="G13" s="43">
        <f>FuenteTasaLibreDeRiesgo!C17</f>
        <v>5.0178754045450601E-2</v>
      </c>
      <c r="H13" s="8"/>
      <c r="I13" s="8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s="32" customFormat="1">
      <c r="A14" s="8"/>
      <c r="B14" s="8"/>
      <c r="C14" s="7"/>
      <c r="D14" s="1"/>
      <c r="E14" s="39">
        <f>FuenteTasaLibreDeRiesgo!A18</f>
        <v>1937</v>
      </c>
      <c r="F14" s="43">
        <f>FuenteTasaLibreDeRiesgo!B18</f>
        <v>2.7300000000000001E-2</v>
      </c>
      <c r="G14" s="42">
        <f>FuenteTasaLibreDeRiesgo!C18</f>
        <v>1.379146059646038E-2</v>
      </c>
      <c r="H14" s="7"/>
      <c r="I14" s="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s="32" customFormat="1">
      <c r="A15" s="8"/>
      <c r="B15" s="8"/>
      <c r="C15" s="7"/>
      <c r="D15" s="1"/>
      <c r="E15" s="39">
        <f>FuenteTasaLibreDeRiesgo!A19</f>
        <v>1938</v>
      </c>
      <c r="F15" s="43">
        <f>FuenteTasaLibreDeRiesgo!B19</f>
        <v>2.5600000000000001E-2</v>
      </c>
      <c r="G15" s="42">
        <f>FuenteTasaLibreDeRiesgo!C19</f>
        <v>4.2132485322046068E-2</v>
      </c>
      <c r="H15" s="7"/>
      <c r="I15" s="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s="32" customFormat="1">
      <c r="A16" s="8"/>
      <c r="B16" s="1"/>
      <c r="C16" s="7"/>
      <c r="D16" s="1"/>
      <c r="E16" s="39">
        <f>FuenteTasaLibreDeRiesgo!A20</f>
        <v>1939</v>
      </c>
      <c r="F16" s="43">
        <f>FuenteTasaLibreDeRiesgo!B20</f>
        <v>2.35E-2</v>
      </c>
      <c r="G16" s="42">
        <f>FuenteTasaLibreDeRiesgo!C20</f>
        <v>4.4122613942060671E-2</v>
      </c>
      <c r="H16" s="7"/>
      <c r="I16" s="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s="32" customFormat="1">
      <c r="A17" s="8"/>
      <c r="B17" s="1"/>
      <c r="C17" s="7"/>
      <c r="D17" s="1"/>
      <c r="E17" s="39">
        <f>FuenteTasaLibreDeRiesgo!A21</f>
        <v>1940</v>
      </c>
      <c r="F17" s="43">
        <f>FuenteTasaLibreDeRiesgo!B21</f>
        <v>2.01E-2</v>
      </c>
      <c r="G17" s="42">
        <f>FuenteTasaLibreDeRiesgo!C21</f>
        <v>5.4024815962845509E-2</v>
      </c>
      <c r="H17" s="7"/>
      <c r="I17" s="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s="32" customFormat="1">
      <c r="A18" s="8"/>
      <c r="B18" s="1"/>
      <c r="C18" s="7"/>
      <c r="D18" s="1"/>
      <c r="E18" s="39">
        <f>FuenteTasaLibreDeRiesgo!A22</f>
        <v>1941</v>
      </c>
      <c r="F18" s="43">
        <f>FuenteTasaLibreDeRiesgo!B22</f>
        <v>2.47E-2</v>
      </c>
      <c r="G18" s="42">
        <f>FuenteTasaLibreDeRiesgo!C22</f>
        <v>-2.0221975848580105E-2</v>
      </c>
      <c r="H18" s="7"/>
      <c r="I18" s="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s="32" customFormat="1">
      <c r="A19" s="8"/>
      <c r="B19" s="1"/>
      <c r="C19" s="7"/>
      <c r="D19" s="1"/>
      <c r="E19" s="39">
        <f>FuenteTasaLibreDeRiesgo!A23</f>
        <v>1942</v>
      </c>
      <c r="F19" s="43">
        <f>FuenteTasaLibreDeRiesgo!B23</f>
        <v>2.4899999999999999E-2</v>
      </c>
      <c r="G19" s="42">
        <f>FuenteTasaLibreDeRiesgo!C23</f>
        <v>2.2948682374484164E-2</v>
      </c>
      <c r="H19" s="7"/>
      <c r="I19" s="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s="32" customFormat="1">
      <c r="A20" s="8"/>
      <c r="B20" s="1"/>
      <c r="C20" s="7"/>
      <c r="D20" s="1"/>
      <c r="E20" s="39">
        <f>FuenteTasaLibreDeRiesgo!A24</f>
        <v>1943</v>
      </c>
      <c r="F20" s="43">
        <f>FuenteTasaLibreDeRiesgo!B24</f>
        <v>2.4899999999999999E-2</v>
      </c>
      <c r="G20" s="42">
        <f>FuenteTasaLibreDeRiesgo!C24</f>
        <v>2.4899999999999999E-2</v>
      </c>
      <c r="H20" s="7"/>
      <c r="I20" s="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s="32" customFormat="1">
      <c r="A21" s="8"/>
      <c r="B21" s="1"/>
      <c r="C21" s="7"/>
      <c r="D21" s="1"/>
      <c r="E21" s="39">
        <f>FuenteTasaLibreDeRiesgo!A25</f>
        <v>1944</v>
      </c>
      <c r="F21" s="43">
        <f>FuenteTasaLibreDeRiesgo!B25</f>
        <v>2.4799999999999999E-2</v>
      </c>
      <c r="G21" s="42">
        <f>FuenteTasaLibreDeRiesgo!C25</f>
        <v>2.5776111579070303E-2</v>
      </c>
      <c r="H21" s="7"/>
      <c r="I21" s="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s="32" customFormat="1">
      <c r="A22" s="8"/>
      <c r="B22" s="1"/>
      <c r="C22" s="1"/>
      <c r="D22" s="1"/>
      <c r="E22" s="39">
        <f>FuenteTasaLibreDeRiesgo!A26</f>
        <v>1945</v>
      </c>
      <c r="F22" s="43">
        <f>FuenteTasaLibreDeRiesgo!B26</f>
        <v>2.3300000000000001E-2</v>
      </c>
      <c r="G22" s="42">
        <f>FuenteTasaLibreDeRiesgo!C26</f>
        <v>3.8044173419237229E-2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s="32" customFormat="1">
      <c r="A23" s="8"/>
      <c r="B23" s="1"/>
      <c r="C23" s="1"/>
      <c r="D23" s="1"/>
      <c r="E23" s="44">
        <f>FuenteTasaLibreDeRiesgo!A27</f>
        <v>1946</v>
      </c>
      <c r="F23" s="43">
        <f>FuenteTasaLibreDeRiesgo!B27</f>
        <v>2.24E-2</v>
      </c>
      <c r="G23" s="43">
        <f>FuenteTasaLibreDeRiesgo!C27</f>
        <v>3.1283745375695685E-2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s="32" customFormat="1">
      <c r="A24" s="8"/>
      <c r="B24" s="1"/>
      <c r="C24" s="1"/>
      <c r="D24" s="1"/>
      <c r="E24" s="39">
        <f>FuenteTasaLibreDeRiesgo!A28</f>
        <v>1947</v>
      </c>
      <c r="F24" s="43">
        <f>FuenteTasaLibreDeRiesgo!B28</f>
        <v>2.3900000000000001E-2</v>
      </c>
      <c r="G24" s="42">
        <f>FuenteTasaLibreDeRiesgo!C28</f>
        <v>9.1969680628322358E-3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s="32" customFormat="1">
      <c r="A25" s="8"/>
      <c r="B25" s="1"/>
      <c r="C25" s="1"/>
      <c r="D25" s="1"/>
      <c r="E25" s="39">
        <f>FuenteTasaLibreDeRiesgo!A29</f>
        <v>1948</v>
      </c>
      <c r="F25" s="43">
        <f>FuenteTasaLibreDeRiesgo!B29</f>
        <v>2.4400000000000002E-2</v>
      </c>
      <c r="G25" s="42">
        <f>FuenteTasaLibreDeRiesgo!C29</f>
        <v>1.9510369413175046E-2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s="32" customFormat="1">
      <c r="A26" s="8"/>
      <c r="B26" s="1"/>
      <c r="C26" s="1"/>
      <c r="D26" s="1"/>
      <c r="E26" s="39">
        <f>FuenteTasaLibreDeRiesgo!A30</f>
        <v>1949</v>
      </c>
      <c r="F26" s="43">
        <f>FuenteTasaLibreDeRiesgo!B30</f>
        <v>2.1899999999999999E-2</v>
      </c>
      <c r="G26" s="42">
        <f>FuenteTasaLibreDeRiesgo!C30</f>
        <v>4.6634851827973139E-2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s="32" customFormat="1">
      <c r="A27" s="8"/>
      <c r="B27" s="1"/>
      <c r="C27" s="1"/>
      <c r="D27" s="1"/>
      <c r="E27" s="39">
        <f>FuenteTasaLibreDeRiesgo!A31</f>
        <v>1950</v>
      </c>
      <c r="F27" s="43">
        <f>FuenteTasaLibreDeRiesgo!B31</f>
        <v>2.3900000000000001E-2</v>
      </c>
      <c r="G27" s="42">
        <f>FuenteTasaLibreDeRiesgo!C31</f>
        <v>4.2959574171096103E-3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s="32" customFormat="1">
      <c r="A28" s="8"/>
      <c r="B28" s="1"/>
      <c r="C28" s="1"/>
      <c r="D28" s="1"/>
      <c r="E28" s="39">
        <f>FuenteTasaLibreDeRiesgo!A32</f>
        <v>1951</v>
      </c>
      <c r="F28" s="43">
        <f>FuenteTasaLibreDeRiesgo!B32</f>
        <v>2.7E-2</v>
      </c>
      <c r="G28" s="42">
        <f>FuenteTasaLibreDeRiesgo!C32</f>
        <v>-2.9531392208319886E-3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s="32" customFormat="1">
      <c r="A29" s="8"/>
      <c r="B29" s="1"/>
      <c r="C29" s="1"/>
      <c r="D29" s="1"/>
      <c r="E29" s="39">
        <f>FuenteTasaLibreDeRiesgo!A33</f>
        <v>1952</v>
      </c>
      <c r="F29" s="43">
        <f>FuenteTasaLibreDeRiesgo!B33</f>
        <v>2.75E-2</v>
      </c>
      <c r="G29" s="42">
        <f>FuenteTasaLibreDeRiesgo!C33</f>
        <v>2.2679961918305656E-2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s="32" customFormat="1">
      <c r="A30" s="8"/>
      <c r="B30" s="1"/>
      <c r="C30" s="1"/>
      <c r="D30" s="1"/>
      <c r="E30" s="39">
        <f>FuenteTasaLibreDeRiesgo!A34</f>
        <v>1953</v>
      </c>
      <c r="F30" s="43">
        <f>FuenteTasaLibreDeRiesgo!B34</f>
        <v>2.5899999999999999E-2</v>
      </c>
      <c r="G30" s="42">
        <f>FuenteTasaLibreDeRiesgo!C34</f>
        <v>4.1438402589088513E-2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s="32" customFormat="1">
      <c r="A31" s="8"/>
      <c r="B31" s="1"/>
      <c r="C31" s="1"/>
      <c r="D31" s="1"/>
      <c r="E31" s="39">
        <f>FuenteTasaLibreDeRiesgo!A35</f>
        <v>1954</v>
      </c>
      <c r="F31" s="43">
        <f>FuenteTasaLibreDeRiesgo!B35</f>
        <v>2.5100000000000001E-2</v>
      </c>
      <c r="G31" s="42">
        <f>FuenteTasaLibreDeRiesgo!C35</f>
        <v>3.2898034558095555E-2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s="32" customFormat="1">
      <c r="A32" s="8"/>
      <c r="B32" s="1"/>
      <c r="C32" s="1"/>
      <c r="D32" s="1"/>
      <c r="E32" s="39">
        <f>FuenteTasaLibreDeRiesgo!A36</f>
        <v>1955</v>
      </c>
      <c r="F32" s="43">
        <f>FuenteTasaLibreDeRiesgo!B36</f>
        <v>2.9600000000000001E-2</v>
      </c>
      <c r="G32" s="42">
        <f>FuenteTasaLibreDeRiesgo!C36</f>
        <v>-1.3364391288618781E-2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s="32" customFormat="1">
      <c r="A33" s="8"/>
      <c r="B33" s="1"/>
      <c r="C33" s="1"/>
      <c r="D33" s="1"/>
      <c r="E33" s="44">
        <f>FuenteTasaLibreDeRiesgo!A37</f>
        <v>1956</v>
      </c>
      <c r="F33" s="43">
        <f>FuenteTasaLibreDeRiesgo!B37</f>
        <v>3.5900000000000001E-2</v>
      </c>
      <c r="G33" s="43">
        <f>FuenteTasaLibreDeRiesgo!C37</f>
        <v>-2.2557738173154165E-2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32" customFormat="1">
      <c r="A34" s="8"/>
      <c r="B34" s="1"/>
      <c r="C34" s="1"/>
      <c r="D34" s="1"/>
      <c r="E34" s="39">
        <f>FuenteTasaLibreDeRiesgo!A38</f>
        <v>1957</v>
      </c>
      <c r="F34" s="43">
        <f>FuenteTasaLibreDeRiesgo!B38</f>
        <v>3.2099999999999997E-2</v>
      </c>
      <c r="G34" s="42">
        <f>FuenteTasaLibreDeRiesgo!C38</f>
        <v>6.7970128466249904E-2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32" customFormat="1">
      <c r="A35" s="8"/>
      <c r="B35" s="1"/>
      <c r="C35" s="1"/>
      <c r="D35" s="1"/>
      <c r="E35" s="39">
        <f>FuenteTasaLibreDeRiesgo!A39</f>
        <v>1958</v>
      </c>
      <c r="F35" s="43">
        <f>FuenteTasaLibreDeRiesgo!B39</f>
        <v>3.8600000000000002E-2</v>
      </c>
      <c r="G35" s="42">
        <f>FuenteTasaLibreDeRiesgo!C39</f>
        <v>-2.0990181755274694E-2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32" customFormat="1">
      <c r="A36" s="8"/>
      <c r="B36" s="1"/>
      <c r="C36" s="1"/>
      <c r="D36" s="1"/>
      <c r="E36" s="39">
        <f>FuenteTasaLibreDeRiesgo!A40</f>
        <v>1959</v>
      </c>
      <c r="F36" s="43">
        <f>FuenteTasaLibreDeRiesgo!B40</f>
        <v>4.6899999999999997E-2</v>
      </c>
      <c r="G36" s="42">
        <f>FuenteTasaLibreDeRiesgo!C40</f>
        <v>-2.6466312591385065E-2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32" customFormat="1">
      <c r="A37" s="8"/>
      <c r="B37" s="1"/>
      <c r="C37" s="1"/>
      <c r="D37" s="1"/>
      <c r="E37" s="39">
        <f>FuenteTasaLibreDeRiesgo!A41</f>
        <v>1960</v>
      </c>
      <c r="F37" s="43">
        <f>FuenteTasaLibreDeRiesgo!B41</f>
        <v>3.8399999999999997E-2</v>
      </c>
      <c r="G37" s="42">
        <f>FuenteTasaLibreDeRiesgo!C41</f>
        <v>0.11639503690963365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32" customFormat="1">
      <c r="A38" s="8"/>
      <c r="B38" s="1"/>
      <c r="C38" s="1"/>
      <c r="D38" s="1"/>
      <c r="E38" s="39">
        <f>FuenteTasaLibreDeRiesgo!A42</f>
        <v>1961</v>
      </c>
      <c r="F38" s="43">
        <f>FuenteTasaLibreDeRiesgo!B42</f>
        <v>4.0599999999999997E-2</v>
      </c>
      <c r="G38" s="42">
        <f>FuenteTasaLibreDeRiesgo!C42</f>
        <v>2.0609208076323167E-2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32" customFormat="1">
      <c r="A39" s="8"/>
      <c r="B39" s="1"/>
      <c r="C39" s="1"/>
      <c r="D39" s="1"/>
      <c r="E39" s="39">
        <f>FuenteTasaLibreDeRiesgo!A43</f>
        <v>1962</v>
      </c>
      <c r="F39" s="43">
        <f>FuenteTasaLibreDeRiesgo!B43</f>
        <v>3.8600000000000002E-2</v>
      </c>
      <c r="G39" s="42">
        <f>FuenteTasaLibreDeRiesgo!C43</f>
        <v>5.693544054008462E-2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32" customFormat="1">
      <c r="A40" s="8"/>
      <c r="B40" s="1"/>
      <c r="C40" s="1"/>
      <c r="D40" s="1"/>
      <c r="E40" s="39">
        <f>FuenteTasaLibreDeRiesgo!A44</f>
        <v>1963</v>
      </c>
      <c r="F40" s="43">
        <f>FuenteTasaLibreDeRiesgo!B44</f>
        <v>4.1300000000000003E-2</v>
      </c>
      <c r="G40" s="42">
        <f>FuenteTasaLibreDeRiesgo!C44</f>
        <v>1.6841620739546127E-2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32" customFormat="1">
      <c r="A41" s="8"/>
      <c r="B41" s="1"/>
      <c r="C41" s="1"/>
      <c r="D41" s="1"/>
      <c r="E41" s="39">
        <f>FuenteTasaLibreDeRiesgo!A45</f>
        <v>1964</v>
      </c>
      <c r="F41" s="43">
        <f>FuenteTasaLibreDeRiesgo!B45</f>
        <v>4.1799999999999997E-2</v>
      </c>
      <c r="G41" s="42">
        <f>FuenteTasaLibreDeRiesgo!C45</f>
        <v>3.7280648911540815E-2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32" customFormat="1">
      <c r="A42" s="8"/>
      <c r="B42" s="1"/>
      <c r="C42" s="1"/>
      <c r="D42" s="1"/>
      <c r="E42" s="39">
        <f>FuenteTasaLibreDeRiesgo!A46</f>
        <v>1965</v>
      </c>
      <c r="F42" s="43">
        <f>FuenteTasaLibreDeRiesgo!B46</f>
        <v>4.6199999999999998E-2</v>
      </c>
      <c r="G42" s="42">
        <f>FuenteTasaLibreDeRiesgo!C46</f>
        <v>7.1885509359262342E-3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s="32" customFormat="1">
      <c r="A43" s="8"/>
      <c r="B43" s="1"/>
      <c r="C43" s="1"/>
      <c r="D43" s="1"/>
      <c r="E43" s="44">
        <f>FuenteTasaLibreDeRiesgo!A47</f>
        <v>1966</v>
      </c>
      <c r="F43" s="43">
        <f>FuenteTasaLibreDeRiesgo!B47</f>
        <v>4.8399999999999999E-2</v>
      </c>
      <c r="G43" s="43">
        <f>FuenteTasaLibreDeRiesgo!C47</f>
        <v>2.9079409324299622E-2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32" customFormat="1">
      <c r="A44" s="8"/>
      <c r="B44" s="1"/>
      <c r="C44" s="1"/>
      <c r="D44" s="1"/>
      <c r="E44" s="39">
        <f>FuenteTasaLibreDeRiesgo!A48</f>
        <v>1967</v>
      </c>
      <c r="F44" s="43">
        <f>FuenteTasaLibreDeRiesgo!B48</f>
        <v>5.7000000000000002E-2</v>
      </c>
      <c r="G44" s="42">
        <f>FuenteTasaLibreDeRiesgo!C48</f>
        <v>-1.5806209932824666E-2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32" customFormat="1">
      <c r="A45" s="8"/>
      <c r="B45" s="1"/>
      <c r="C45" s="1"/>
      <c r="D45" s="1"/>
      <c r="E45" s="39">
        <f>FuenteTasaLibreDeRiesgo!A49</f>
        <v>1968</v>
      </c>
      <c r="F45" s="43">
        <f>FuenteTasaLibreDeRiesgo!B49</f>
        <v>6.0299999999999999E-2</v>
      </c>
      <c r="G45" s="42">
        <f>FuenteTasaLibreDeRiesgo!C49</f>
        <v>3.2746196950768365E-2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32" customFormat="1">
      <c r="A46" s="8"/>
      <c r="B46" s="1"/>
      <c r="C46" s="1"/>
      <c r="D46" s="1"/>
      <c r="E46" s="39">
        <f>FuenteTasaLibreDeRiesgo!A50</f>
        <v>1969</v>
      </c>
      <c r="F46" s="43">
        <f>FuenteTasaLibreDeRiesgo!B50</f>
        <v>7.6499999999999999E-2</v>
      </c>
      <c r="G46" s="42">
        <f>FuenteTasaLibreDeRiesgo!C50</f>
        <v>-5.0140493209926106E-2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32" customFormat="1">
      <c r="A47" s="8"/>
      <c r="B47" s="1"/>
      <c r="C47" s="1"/>
      <c r="D47" s="1"/>
      <c r="E47" s="39">
        <f>FuenteTasaLibreDeRiesgo!A51</f>
        <v>1970</v>
      </c>
      <c r="F47" s="43">
        <f>FuenteTasaLibreDeRiesgo!B51</f>
        <v>6.3899999999999998E-2</v>
      </c>
      <c r="G47" s="42">
        <f>FuenteTasaLibreDeRiesgo!C51</f>
        <v>0.16754737183412338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32" customFormat="1">
      <c r="A48" s="8"/>
      <c r="B48" s="1"/>
      <c r="C48" s="1"/>
      <c r="D48" s="1"/>
      <c r="E48" s="39">
        <f>FuenteTasaLibreDeRiesgo!A52</f>
        <v>1971</v>
      </c>
      <c r="F48" s="43">
        <f>FuenteTasaLibreDeRiesgo!B52</f>
        <v>5.9299999999999999E-2</v>
      </c>
      <c r="G48" s="42">
        <f>FuenteTasaLibreDeRiesgo!C52</f>
        <v>9.7868966197122972E-2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32" customFormat="1">
      <c r="A49" s="8"/>
      <c r="B49" s="1"/>
      <c r="C49" s="1"/>
      <c r="D49" s="1"/>
      <c r="E49" s="39">
        <f>FuenteTasaLibreDeRiesgo!A53</f>
        <v>1972</v>
      </c>
      <c r="F49" s="43">
        <f>FuenteTasaLibreDeRiesgo!B53</f>
        <v>6.3600000000000004E-2</v>
      </c>
      <c r="G49" s="42">
        <f>FuenteTasaLibreDeRiesgo!C53</f>
        <v>2.818449050444969E-2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32" customFormat="1">
      <c r="A50" s="8"/>
      <c r="B50" s="1"/>
      <c r="C50" s="1"/>
      <c r="D50" s="1"/>
      <c r="E50" s="39">
        <f>FuenteTasaLibreDeRiesgo!A54</f>
        <v>1973</v>
      </c>
      <c r="F50" s="43">
        <f>FuenteTasaLibreDeRiesgo!B54</f>
        <v>6.7400000000000002E-2</v>
      </c>
      <c r="G50" s="42">
        <f>FuenteTasaLibreDeRiesgo!C54</f>
        <v>3.6586646024150085E-2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32" customFormat="1">
      <c r="A51" s="8"/>
      <c r="B51" s="1"/>
      <c r="C51" s="1"/>
      <c r="D51" s="1"/>
      <c r="E51" s="39">
        <f>FuenteTasaLibreDeRiesgo!A55</f>
        <v>1974</v>
      </c>
      <c r="F51" s="43">
        <f>FuenteTasaLibreDeRiesgo!B55</f>
        <v>7.4300000000000005E-2</v>
      </c>
      <c r="G51" s="42">
        <f>FuenteTasaLibreDeRiesgo!C55</f>
        <v>1.9886086932378574E-2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32" customFormat="1">
      <c r="A52" s="8"/>
      <c r="B52" s="1"/>
      <c r="C52" s="1"/>
      <c r="D52" s="1"/>
      <c r="E52" s="39">
        <f>FuenteTasaLibreDeRiesgo!A56</f>
        <v>1975</v>
      </c>
      <c r="F52" s="43">
        <f>FuenteTasaLibreDeRiesgo!B56</f>
        <v>0.08</v>
      </c>
      <c r="G52" s="42">
        <f>FuenteTasaLibreDeRiesgo!C56</f>
        <v>3.6052536026033838E-2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32" customFormat="1">
      <c r="A53" s="8"/>
      <c r="B53" s="1"/>
      <c r="C53" s="1"/>
      <c r="D53" s="1"/>
      <c r="E53" s="44">
        <f>FuenteTasaLibreDeRiesgo!A57</f>
        <v>1976</v>
      </c>
      <c r="F53" s="43">
        <f>FuenteTasaLibreDeRiesgo!B57</f>
        <v>6.8699999999999997E-2</v>
      </c>
      <c r="G53" s="43">
        <f>FuenteTasaLibreDeRiesgo!C57</f>
        <v>0.1598456074290921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32" customFormat="1">
      <c r="A54" s="8"/>
      <c r="B54" s="1"/>
      <c r="C54" s="1"/>
      <c r="D54" s="1"/>
      <c r="E54" s="39">
        <f>FuenteTasaLibreDeRiesgo!A58</f>
        <v>1977</v>
      </c>
      <c r="F54" s="43">
        <f>FuenteTasaLibreDeRiesgo!B58</f>
        <v>7.6899999999999996E-2</v>
      </c>
      <c r="G54" s="42">
        <f>FuenteTasaLibreDeRiesgo!C58</f>
        <v>1.2899606071070449E-2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32" customFormat="1">
      <c r="A55" s="8"/>
      <c r="B55" s="1"/>
      <c r="C55" s="1"/>
      <c r="D55" s="1"/>
      <c r="E55" s="39">
        <f>FuenteTasaLibreDeRiesgo!A59</f>
        <v>1978</v>
      </c>
      <c r="F55" s="43">
        <f>FuenteTasaLibreDeRiesgo!B59</f>
        <v>9.01E-2</v>
      </c>
      <c r="G55" s="42">
        <f>FuenteTasaLibreDeRiesgo!C59</f>
        <v>-7.7758069075086478E-3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32" customFormat="1">
      <c r="A56" s="8"/>
      <c r="B56" s="1"/>
      <c r="C56" s="1"/>
      <c r="D56" s="1"/>
      <c r="E56" s="39">
        <f>FuenteTasaLibreDeRiesgo!A60</f>
        <v>1979</v>
      </c>
      <c r="F56" s="43">
        <f>FuenteTasaLibreDeRiesgo!B60</f>
        <v>0.10390000000000001</v>
      </c>
      <c r="G56" s="42">
        <f>FuenteTasaLibreDeRiesgo!C60</f>
        <v>6.7072031247235459E-3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32" customFormat="1">
      <c r="A57" s="8"/>
      <c r="B57" s="1"/>
      <c r="C57" s="1"/>
      <c r="D57" s="1"/>
      <c r="E57" s="39">
        <f>FuenteTasaLibreDeRiesgo!A61</f>
        <v>1980</v>
      </c>
      <c r="F57" s="43">
        <f>FuenteTasaLibreDeRiesgo!B61</f>
        <v>0.12839999999999999</v>
      </c>
      <c r="G57" s="42">
        <f>FuenteTasaLibreDeRiesgo!C61</f>
        <v>-2.989744251999403E-2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32" customFormat="1">
      <c r="A58" s="8"/>
      <c r="B58" s="1"/>
      <c r="C58" s="1"/>
      <c r="D58" s="1"/>
      <c r="E58" s="39">
        <f>FuenteTasaLibreDeRiesgo!A62</f>
        <v>1981</v>
      </c>
      <c r="F58" s="43">
        <f>FuenteTasaLibreDeRiesgo!B62</f>
        <v>0.13719999999999999</v>
      </c>
      <c r="G58" s="42">
        <f>FuenteTasaLibreDeRiesgo!C62</f>
        <v>8.1992153358923542E-2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32" customFormat="1">
      <c r="A59" s="8"/>
      <c r="B59" s="1"/>
      <c r="C59" s="1"/>
      <c r="D59" s="1"/>
      <c r="E59" s="39">
        <f>FuenteTasaLibreDeRiesgo!A63</f>
        <v>1982</v>
      </c>
      <c r="F59" s="43">
        <f>FuenteTasaLibreDeRiesgo!B63</f>
        <v>0.10539999999999999</v>
      </c>
      <c r="G59" s="42">
        <f>FuenteTasaLibreDeRiesgo!C63</f>
        <v>0.32814549486295586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32" customFormat="1">
      <c r="A60" s="8"/>
      <c r="B60" s="1"/>
      <c r="C60" s="1"/>
      <c r="D60" s="1"/>
      <c r="E60" s="39">
        <f>FuenteTasaLibreDeRiesgo!A64</f>
        <v>1983</v>
      </c>
      <c r="F60" s="43">
        <f>FuenteTasaLibreDeRiesgo!B64</f>
        <v>0.1183</v>
      </c>
      <c r="G60" s="42">
        <f>FuenteTasaLibreDeRiesgo!C64</f>
        <v>3.2002094451429264E-2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32" customFormat="1">
      <c r="A61" s="8"/>
      <c r="B61" s="1"/>
      <c r="C61" s="1"/>
      <c r="D61" s="1"/>
      <c r="E61" s="39">
        <f>FuenteTasaLibreDeRiesgo!A65</f>
        <v>1984</v>
      </c>
      <c r="F61" s="43">
        <f>FuenteTasaLibreDeRiesgo!B65</f>
        <v>0.115</v>
      </c>
      <c r="G61" s="42">
        <f>FuenteTasaLibreDeRiesgo!C65</f>
        <v>0.13733364344102345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32" customFormat="1">
      <c r="A62" s="8"/>
      <c r="B62" s="1"/>
      <c r="C62" s="1"/>
      <c r="D62" s="1"/>
      <c r="E62" s="39">
        <f>FuenteTasaLibreDeRiesgo!A66</f>
        <v>1985</v>
      </c>
      <c r="F62" s="43">
        <f>FuenteTasaLibreDeRiesgo!B66</f>
        <v>9.2600000000000002E-2</v>
      </c>
      <c r="G62" s="42">
        <f>FuenteTasaLibreDeRiesgo!C66</f>
        <v>0.2571248821260641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32" customFormat="1">
      <c r="A63" s="8"/>
      <c r="B63" s="1"/>
      <c r="C63" s="1"/>
      <c r="D63" s="1"/>
      <c r="E63" s="44">
        <f>FuenteTasaLibreDeRiesgo!A67</f>
        <v>1986</v>
      </c>
      <c r="F63" s="43">
        <f>FuenteTasaLibreDeRiesgo!B67</f>
        <v>7.1099999999999997E-2</v>
      </c>
      <c r="G63" s="43">
        <f>FuenteTasaLibreDeRiesgo!C67</f>
        <v>0.24284215141767618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32" customFormat="1">
      <c r="A64" s="8"/>
      <c r="B64" s="1"/>
      <c r="C64" s="1"/>
      <c r="D64" s="1"/>
      <c r="E64" s="39">
        <f>FuenteTasaLibreDeRiesgo!A68</f>
        <v>1987</v>
      </c>
      <c r="F64" s="43">
        <f>FuenteTasaLibreDeRiesgo!B68</f>
        <v>8.9899999999999994E-2</v>
      </c>
      <c r="G64" s="42">
        <f>FuenteTasaLibreDeRiesgo!C68</f>
        <v>-4.9605089379262279E-2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32" customFormat="1">
      <c r="A65" s="8"/>
      <c r="B65" s="1"/>
      <c r="C65" s="1"/>
      <c r="D65" s="1"/>
      <c r="E65" s="39">
        <f>FuenteTasaLibreDeRiesgo!A69</f>
        <v>1988</v>
      </c>
      <c r="F65" s="43">
        <f>FuenteTasaLibreDeRiesgo!B69</f>
        <v>9.11E-2</v>
      </c>
      <c r="G65" s="42">
        <f>FuenteTasaLibreDeRiesgo!C69</f>
        <v>8.2235958434841674E-2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32" customFormat="1">
      <c r="A66" s="8"/>
      <c r="B66" s="1"/>
      <c r="C66" s="1"/>
      <c r="D66" s="1"/>
      <c r="E66" s="39">
        <f>FuenteTasaLibreDeRiesgo!A70</f>
        <v>1989</v>
      </c>
      <c r="F66" s="43">
        <f>FuenteTasaLibreDeRiesgo!B70</f>
        <v>7.8399999999999997E-2</v>
      </c>
      <c r="G66" s="42">
        <f>FuenteTasaLibreDeRiesgo!C70</f>
        <v>0.17693647159446219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32" customFormat="1">
      <c r="A67" s="8"/>
      <c r="B67" s="1"/>
      <c r="C67" s="1"/>
      <c r="D67" s="1"/>
      <c r="E67" s="39">
        <f>FuenteTasaLibreDeRiesgo!A71</f>
        <v>1990</v>
      </c>
      <c r="F67" s="43">
        <f>FuenteTasaLibreDeRiesgo!B71</f>
        <v>8.0799999999999997E-2</v>
      </c>
      <c r="G67" s="42">
        <f>FuenteTasaLibreDeRiesgo!C71</f>
        <v>6.2353753335533363E-2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32" customFormat="1">
      <c r="A68" s="8"/>
      <c r="B68" s="1"/>
      <c r="C68" s="1"/>
      <c r="D68" s="1"/>
      <c r="E68" s="39">
        <f>FuenteTasaLibreDeRiesgo!A72</f>
        <v>1991</v>
      </c>
      <c r="F68" s="43">
        <f>FuenteTasaLibreDeRiesgo!B72</f>
        <v>7.0900000000000005E-2</v>
      </c>
      <c r="G68" s="42">
        <f>FuenteTasaLibreDeRiesgo!C72</f>
        <v>0.15004510019517303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32" customFormat="1">
      <c r="A69" s="8"/>
      <c r="B69" s="1"/>
      <c r="C69" s="1"/>
      <c r="D69" s="1"/>
      <c r="E69" s="39">
        <f>FuenteTasaLibreDeRiesgo!A73</f>
        <v>1992</v>
      </c>
      <c r="F69" s="43">
        <f>FuenteTasaLibreDeRiesgo!B73</f>
        <v>6.7699999999999996E-2</v>
      </c>
      <c r="G69" s="42">
        <f>FuenteTasaLibreDeRiesgo!C73</f>
        <v>9.3616373162079422E-2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32" customFormat="1">
      <c r="A70" s="8"/>
      <c r="B70" s="1"/>
      <c r="C70" s="1"/>
      <c r="D70" s="1"/>
      <c r="E70" s="39">
        <f>FuenteTasaLibreDeRiesgo!A74</f>
        <v>1993</v>
      </c>
      <c r="F70" s="43">
        <f>FuenteTasaLibreDeRiesgo!B74</f>
        <v>5.7700000000000001E-2</v>
      </c>
      <c r="G70" s="42">
        <f>FuenteTasaLibreDeRiesgo!C74</f>
        <v>0.14210957589263107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32" customFormat="1">
      <c r="A71" s="8"/>
      <c r="B71" s="1"/>
      <c r="C71" s="1"/>
      <c r="D71" s="1"/>
      <c r="E71" s="39">
        <f>FuenteTasaLibreDeRiesgo!A75</f>
        <v>1994</v>
      </c>
      <c r="F71" s="43">
        <f>FuenteTasaLibreDeRiesgo!B75</f>
        <v>7.8100000000000003E-2</v>
      </c>
      <c r="G71" s="42">
        <f>FuenteTasaLibreDeRiesgo!C75</f>
        <v>-8.0366555509985921E-2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32" customFormat="1">
      <c r="A72" s="8"/>
      <c r="B72" s="1"/>
      <c r="C72" s="1"/>
      <c r="D72" s="1"/>
      <c r="E72" s="39">
        <f>FuenteTasaLibreDeRiesgo!A76</f>
        <v>1995</v>
      </c>
      <c r="F72" s="43">
        <f>FuenteTasaLibreDeRiesgo!B76</f>
        <v>5.7099999999999998E-2</v>
      </c>
      <c r="G72" s="42">
        <f>FuenteTasaLibreDeRiesgo!C76</f>
        <v>0.23480780112538907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32" customFormat="1">
      <c r="A73" s="8"/>
      <c r="B73" s="1"/>
      <c r="C73" s="1"/>
      <c r="D73" s="1"/>
      <c r="E73" s="44">
        <f>FuenteTasaLibreDeRiesgo!A77</f>
        <v>1996</v>
      </c>
      <c r="F73" s="43">
        <f>FuenteTasaLibreDeRiesgo!B77</f>
        <v>6.3E-2</v>
      </c>
      <c r="G73" s="43">
        <f>FuenteTasaLibreDeRiesgo!C77</f>
        <v>1.428607793401844E-2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32" customFormat="1">
      <c r="A74" s="8"/>
      <c r="B74" s="1"/>
      <c r="C74" s="1"/>
      <c r="D74" s="1"/>
      <c r="E74" s="39">
        <f>FuenteTasaLibreDeRiesgo!A78</f>
        <v>1997</v>
      </c>
      <c r="F74" s="43">
        <f>FuenteTasaLibreDeRiesgo!B78</f>
        <v>5.8099999999999999E-2</v>
      </c>
      <c r="G74" s="42">
        <f>FuenteTasaLibreDeRiesgo!C78</f>
        <v>9.939130272977531E-2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32" customFormat="1">
      <c r="A75" s="8"/>
      <c r="B75" s="1"/>
      <c r="C75" s="1"/>
      <c r="D75" s="1"/>
      <c r="E75" s="39">
        <f>FuenteTasaLibreDeRiesgo!A79</f>
        <v>1998</v>
      </c>
      <c r="F75" s="43">
        <f>FuenteTasaLibreDeRiesgo!B79</f>
        <v>4.65E-2</v>
      </c>
      <c r="G75" s="42">
        <f>FuenteTasaLibreDeRiesgo!C79</f>
        <v>0.14921431922606215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32" customFormat="1">
      <c r="A76" s="8"/>
      <c r="B76" s="1"/>
      <c r="C76" s="1"/>
      <c r="D76" s="1"/>
      <c r="E76" s="39">
        <f>FuenteTasaLibreDeRiesgo!A80</f>
        <v>1999</v>
      </c>
      <c r="F76" s="43">
        <f>FuenteTasaLibreDeRiesgo!B80</f>
        <v>6.4399999999999999E-2</v>
      </c>
      <c r="G76" s="42">
        <f>FuenteTasaLibreDeRiesgo!C80</f>
        <v>-8.2542147962685761E-2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32" customFormat="1">
      <c r="A77" s="8"/>
      <c r="B77" s="1"/>
      <c r="C77" s="1"/>
      <c r="D77" s="1"/>
      <c r="E77" s="39">
        <f>FuenteTasaLibreDeRiesgo!A81</f>
        <v>2000</v>
      </c>
      <c r="F77" s="43">
        <f>FuenteTasaLibreDeRiesgo!B81</f>
        <v>5.11E-2</v>
      </c>
      <c r="G77" s="42">
        <f>FuenteTasaLibreDeRiesgo!C81</f>
        <v>0.16655267125397488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32" customFormat="1">
      <c r="A78" s="8"/>
      <c r="B78" s="1"/>
      <c r="C78" s="1"/>
      <c r="D78" s="1"/>
      <c r="E78" s="39">
        <f>FuenteTasaLibreDeRiesgo!A82</f>
        <v>2001</v>
      </c>
      <c r="F78" s="43">
        <f>FuenteTasaLibreDeRiesgo!B82</f>
        <v>5.0500000000000003E-2</v>
      </c>
      <c r="G78" s="42">
        <f>FuenteTasaLibreDeRiesgo!C82</f>
        <v>5.5721811892492555E-2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32" customFormat="1">
      <c r="A79" s="8"/>
      <c r="B79" s="1"/>
      <c r="C79" s="1"/>
      <c r="D79" s="1"/>
      <c r="E79" s="39">
        <f>FuenteTasaLibreDeRiesgo!A83</f>
        <v>2002</v>
      </c>
      <c r="F79" s="43">
        <f>FuenteTasaLibreDeRiesgo!B83</f>
        <v>3.8199999999999998E-2</v>
      </c>
      <c r="G79" s="42">
        <f>FuenteTasaLibreDeRiesgo!C83</f>
        <v>0.15116400378109285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32" customFormat="1">
      <c r="A80" s="8"/>
      <c r="B80" s="1"/>
      <c r="C80" s="1"/>
      <c r="D80" s="1"/>
      <c r="E80" s="39">
        <f>FuenteTasaLibreDeRiesgo!A84</f>
        <v>2003</v>
      </c>
      <c r="F80" s="43">
        <f>FuenteTasaLibreDeRiesgo!B84</f>
        <v>4.2500000000000003E-2</v>
      </c>
      <c r="G80" s="42">
        <f>FuenteTasaLibreDeRiesgo!C84</f>
        <v>3.7531858817758529E-3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32" customFormat="1">
      <c r="A81" s="8"/>
      <c r="B81" s="1"/>
      <c r="C81" s="1"/>
      <c r="D81" s="1"/>
      <c r="E81" s="39">
        <f>FuenteTasaLibreDeRiesgo!A85</f>
        <v>2004</v>
      </c>
      <c r="F81" s="43">
        <f>FuenteTasaLibreDeRiesgo!B85</f>
        <v>4.2200000000000001E-2</v>
      </c>
      <c r="G81" s="42">
        <f>FuenteTasaLibreDeRiesgo!C85</f>
        <v>4.490683702274547E-2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32" customFormat="1">
      <c r="A82" s="8"/>
      <c r="B82" s="1"/>
      <c r="C82" s="1"/>
      <c r="D82" s="1"/>
      <c r="E82" s="39">
        <f>FuenteTasaLibreDeRiesgo!A86</f>
        <v>2005</v>
      </c>
      <c r="F82" s="43">
        <f>FuenteTasaLibreDeRiesgo!B86</f>
        <v>4.3900000000000002E-2</v>
      </c>
      <c r="G82" s="42">
        <f>FuenteTasaLibreDeRiesgo!C86</f>
        <v>2.8675329597779506E-2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32" customFormat="1">
      <c r="A83" s="8"/>
      <c r="B83" s="1"/>
      <c r="C83" s="1"/>
      <c r="D83" s="1"/>
      <c r="E83" s="44">
        <f>FuenteTasaLibreDeRiesgo!A87</f>
        <v>2006</v>
      </c>
      <c r="F83" s="43">
        <f>FuenteTasaLibreDeRiesgo!B87</f>
        <v>4.7E-2</v>
      </c>
      <c r="G83" s="43">
        <f>FuenteTasaLibreDeRiesgo!C87</f>
        <v>1.9610012417568386E-2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32" customFormat="1">
      <c r="A84" s="8"/>
      <c r="B84" s="1"/>
      <c r="C84" s="1"/>
      <c r="D84" s="1"/>
      <c r="E84" s="39">
        <f>FuenteTasaLibreDeRiesgo!A88</f>
        <v>2007</v>
      </c>
      <c r="F84" s="43">
        <f>FuenteTasaLibreDeRiesgo!B88</f>
        <v>4.02E-2</v>
      </c>
      <c r="G84" s="42">
        <f>FuenteTasaLibreDeRiesgo!C88</f>
        <v>0.10209921930012807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32" customFormat="1">
      <c r="A85" s="8"/>
      <c r="B85" s="1"/>
      <c r="C85" s="1"/>
      <c r="D85" s="1"/>
      <c r="E85" s="39">
        <f>FuenteTasaLibreDeRiesgo!A89</f>
        <v>2008</v>
      </c>
      <c r="F85" s="43">
        <f>FuenteTasaLibreDeRiesgo!B89</f>
        <v>2.2100000000000002E-2</v>
      </c>
      <c r="G85" s="42">
        <f>FuenteTasaLibreDeRiesgo!C89</f>
        <v>0.20101279926977011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32" customFormat="1">
      <c r="A86" s="8"/>
      <c r="B86" s="1"/>
      <c r="C86" s="1"/>
      <c r="D86" s="1"/>
      <c r="E86" s="39">
        <f>FuenteTasaLibreDeRiesgo!A90</f>
        <v>2009</v>
      </c>
      <c r="F86" s="43">
        <f>FuenteTasaLibreDeRiesgo!B90</f>
        <v>3.8399999999999997E-2</v>
      </c>
      <c r="G86" s="42">
        <f>FuenteTasaLibreDeRiesgo!C90</f>
        <v>-0.11116695313259162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32" customFormat="1">
      <c r="A87" s="8"/>
      <c r="B87" s="1"/>
      <c r="C87" s="1"/>
      <c r="D87" s="1"/>
      <c r="E87" s="39">
        <f>FuenteTasaLibreDeRiesgo!A91</f>
        <v>2010</v>
      </c>
      <c r="F87" s="43">
        <f>FuenteTasaLibreDeRiesgo!B91</f>
        <v>3.2899999999999999E-2</v>
      </c>
      <c r="G87" s="42">
        <f>FuenteTasaLibreDeRiesgo!C91</f>
        <v>8.4629338803557719E-2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32" customFormat="1">
      <c r="A88" s="8"/>
      <c r="B88" s="1"/>
      <c r="C88" s="1"/>
      <c r="D88" s="1"/>
      <c r="E88" s="39">
        <f>FuenteTasaLibreDeRiesgo!A92</f>
        <v>2011</v>
      </c>
      <c r="F88" s="43">
        <f>FuenteTasaLibreDeRiesgo!B92</f>
        <v>1.8800000000000001E-2</v>
      </c>
      <c r="G88" s="42">
        <f>FuenteTasaLibreDeRiesgo!C92</f>
        <v>0.16035334999461354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32" customFormat="1">
      <c r="A89" s="8"/>
      <c r="B89" s="1"/>
      <c r="C89" s="1"/>
      <c r="D89" s="1"/>
      <c r="E89" s="39">
        <f>FuenteTasaLibreDeRiesgo!A93</f>
        <v>2012</v>
      </c>
      <c r="F89" s="43">
        <f>FuenteTasaLibreDeRiesgo!B93</f>
        <v>1.7600000000000001E-2</v>
      </c>
      <c r="G89" s="42">
        <f>FuenteTasaLibreDeRiesgo!C93</f>
        <v>2.971571978018946E-2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s="32" customFormat="1">
      <c r="A90" s="8"/>
      <c r="B90" s="1"/>
      <c r="C90" s="1"/>
      <c r="D90" s="1"/>
      <c r="E90" s="39">
        <f>FuenteTasaLibreDeRiesgo!A94</f>
        <v>2013</v>
      </c>
      <c r="F90" s="43">
        <f>FuenteTasaLibreDeRiesgo!B94</f>
        <v>3.0360000000000002E-2</v>
      </c>
      <c r="G90" s="42">
        <f>FuenteTasaLibreDeRiesgo!C94</f>
        <v>-9.104568794347262E-2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s="32" customFormat="1">
      <c r="A91" s="8"/>
      <c r="B91" s="1"/>
      <c r="C91" s="1"/>
      <c r="D91" s="1"/>
      <c r="E91" s="39">
        <f>FuenteTasaLibreDeRiesgo!A95</f>
        <v>2014</v>
      </c>
      <c r="F91" s="43">
        <f>FuenteTasaLibreDeRiesgo!B95</f>
        <v>2.1700000000000001E-2</v>
      </c>
      <c r="G91" s="42">
        <f>FuenteTasaLibreDeRiesgo!C95</f>
        <v>0.10746180452004755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s="32" customFormat="1">
      <c r="A92" s="8"/>
      <c r="B92" s="1"/>
      <c r="C92" s="1"/>
      <c r="D92" s="1"/>
      <c r="E92" s="39">
        <f>FuenteTasaLibreDeRiesgo!A96</f>
        <v>2015</v>
      </c>
      <c r="F92" s="43">
        <f>FuenteTasaLibreDeRiesgo!B96</f>
        <v>2.2700000000000001E-2</v>
      </c>
      <c r="G92" s="42">
        <f>FuenteTasaLibreDeRiesgo!C96</f>
        <v>1.2842996709792224E-2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s="32" customFormat="1">
      <c r="A93" s="8"/>
      <c r="B93" s="1"/>
      <c r="C93" s="1"/>
      <c r="D93" s="1"/>
      <c r="E93" s="44">
        <f>FuenteTasaLibreDeRiesgo!A97</f>
        <v>2016</v>
      </c>
      <c r="F93" s="43">
        <f>FuenteTasaLibreDeRiesgo!B97</f>
        <v>2.4500000000000001E-2</v>
      </c>
      <c r="G93" s="43">
        <f>FuenteTasaLibreDeRiesgo!C97</f>
        <v>6.9055046987477921E-3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s="32" customFormat="1">
      <c r="A94" s="8"/>
      <c r="B94" s="1"/>
      <c r="C94" s="1"/>
      <c r="D94" s="1"/>
      <c r="E94" s="39">
        <f>FuenteTasaLibreDeRiesgo!A98</f>
        <v>2017</v>
      </c>
      <c r="F94" s="43">
        <f>FuenteTasaLibreDeRiesgo!B98</f>
        <v>2.41E-2</v>
      </c>
      <c r="G94" s="42">
        <f>FuenteTasaLibreDeRiesgo!C98</f>
        <v>2.8017162707789457E-2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s="32" customFormat="1">
      <c r="A95" s="8"/>
      <c r="B95" s="1"/>
      <c r="C95" s="1"/>
      <c r="D95" s="1"/>
      <c r="E95" s="39">
        <f>FuenteTasaLibreDeRiesgo!A99</f>
        <v>2018</v>
      </c>
      <c r="F95" s="43">
        <f>FuenteTasaLibreDeRiesgo!B99</f>
        <v>2.69E-2</v>
      </c>
      <c r="G95" s="42">
        <f>FuenteTasaLibreDeRiesgo!C99</f>
        <v>-1.6692385713402633E-4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s="32" customFormat="1">
      <c r="A96" s="8"/>
      <c r="B96" s="1"/>
      <c r="C96" s="1"/>
      <c r="D96" s="1"/>
      <c r="E96" s="39">
        <f>FuenteTasaLibreDeRiesgo!A100</f>
        <v>2019</v>
      </c>
      <c r="F96" s="43">
        <f>FuenteTasaLibreDeRiesgo!B100</f>
        <v>1.9199999999999998E-2</v>
      </c>
      <c r="G96" s="42">
        <f>FuenteTasaLibreDeRiesgo!C100</f>
        <v>9.6356307415483927E-2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s="32" customFormat="1">
      <c r="A97" s="8"/>
      <c r="B97" s="1"/>
      <c r="C97" s="1"/>
      <c r="D97" s="1"/>
      <c r="E97" s="39">
        <f>FuenteTasaLibreDeRiesgo!A101</f>
        <v>2020</v>
      </c>
      <c r="F97" s="43">
        <f>FuenteTasaLibreDeRiesgo!B101</f>
        <v>9.2999999999999992E-3</v>
      </c>
      <c r="G97" s="42">
        <f>FuenteTasaLibreDeRiesgo!C101</f>
        <v>0.1133189764661412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</sheetData>
  <sheetProtection sheet="1" objects="1" scenarios="1"/>
  <hyperlinks>
    <hyperlink ref="A1" location="Indice!A1" display="Índice" xr:uid="{F2CEF992-8321-48DD-9EEB-2E3A1833FC1D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5D7BA-D622-4777-8832-5E2087F1D3FC}">
  <sheetPr>
    <tabColor rgb="FFFFFFFF"/>
    <pageSetUpPr fitToPage="1"/>
  </sheetPr>
  <dimension ref="A1:AF84"/>
  <sheetViews>
    <sheetView topLeftCell="E1" zoomScale="85" zoomScaleNormal="85" workbookViewId="0">
      <selection activeCell="AA10" sqref="AA10"/>
    </sheetView>
  </sheetViews>
  <sheetFormatPr baseColWidth="10" defaultColWidth="11.42578125" defaultRowHeight="12.75"/>
  <cols>
    <col min="1" max="1" width="2.42578125" style="98" customWidth="1"/>
    <col min="2" max="2" width="38.42578125" style="100" customWidth="1"/>
    <col min="3" max="3" width="25.140625" style="100" customWidth="1"/>
    <col min="4" max="4" width="13.28515625" style="100" bestFit="1" customWidth="1"/>
    <col min="5" max="5" width="12.7109375" style="100" customWidth="1"/>
    <col min="6" max="16" width="12.7109375" style="100" hidden="1" customWidth="1"/>
    <col min="17" max="17" width="12.7109375" style="100" customWidth="1"/>
    <col min="18" max="20" width="13.5703125" style="100" bestFit="1" customWidth="1"/>
    <col min="21" max="21" width="5.28515625" style="100" customWidth="1"/>
    <col min="22" max="23" width="15" style="100" customWidth="1"/>
    <col min="24" max="25" width="12" style="100" bestFit="1" customWidth="1"/>
    <col min="26" max="27" width="13.5703125" style="100" bestFit="1" customWidth="1"/>
    <col min="28" max="28" width="12" style="100" bestFit="1" customWidth="1"/>
    <col min="29" max="16384" width="11.42578125" style="100"/>
  </cols>
  <sheetData>
    <row r="1" spans="1:32" ht="12.75" customHeight="1">
      <c r="B1" s="99" t="s">
        <v>107</v>
      </c>
      <c r="F1" s="101"/>
      <c r="R1" s="102" t="s">
        <v>108</v>
      </c>
      <c r="S1" s="103"/>
      <c r="T1" s="103"/>
      <c r="U1" s="103"/>
      <c r="V1" s="216" t="s">
        <v>308</v>
      </c>
    </row>
    <row r="2" spans="1:32" ht="12.75" customHeight="1">
      <c r="B2" s="99" t="s">
        <v>109</v>
      </c>
      <c r="C2" s="104" t="s">
        <v>110</v>
      </c>
    </row>
    <row r="3" spans="1:32" ht="12.75" customHeight="1">
      <c r="B3" s="99" t="s">
        <v>111</v>
      </c>
      <c r="C3" s="105" t="s">
        <v>112</v>
      </c>
      <c r="F3" s="106"/>
      <c r="G3" s="107"/>
    </row>
    <row r="4" spans="1:32" ht="12.75" customHeight="1">
      <c r="C4" s="108" t="s">
        <v>113</v>
      </c>
    </row>
    <row r="5" spans="1:32" ht="12.75" customHeight="1">
      <c r="C5" s="108" t="s">
        <v>114</v>
      </c>
    </row>
    <row r="6" spans="1:32" ht="5.0999999999999996" customHeight="1"/>
    <row r="7" spans="1:32" ht="24" customHeight="1">
      <c r="A7" s="109"/>
      <c r="B7" s="110" t="s">
        <v>115</v>
      </c>
      <c r="C7" s="111" t="s">
        <v>116</v>
      </c>
      <c r="D7" s="111" t="s">
        <v>117</v>
      </c>
      <c r="E7" s="112" t="s">
        <v>118</v>
      </c>
      <c r="F7" s="226" t="s">
        <v>119</v>
      </c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8"/>
      <c r="R7" s="113" t="s">
        <v>120</v>
      </c>
      <c r="S7" s="113" t="s">
        <v>121</v>
      </c>
      <c r="T7" s="113" t="s">
        <v>122</v>
      </c>
      <c r="V7" s="173"/>
      <c r="W7" s="173"/>
      <c r="X7" s="173" t="s">
        <v>193</v>
      </c>
      <c r="Y7" s="173"/>
      <c r="Z7" s="173"/>
      <c r="AA7" s="173"/>
      <c r="AB7" s="173"/>
    </row>
    <row r="8" spans="1:32" ht="12.75" customHeight="1">
      <c r="A8" s="109"/>
      <c r="B8" s="114"/>
      <c r="C8" s="115" t="s">
        <v>123</v>
      </c>
      <c r="D8" s="115" t="s">
        <v>123</v>
      </c>
      <c r="E8" s="116" t="s">
        <v>124</v>
      </c>
      <c r="F8" s="117" t="s">
        <v>125</v>
      </c>
      <c r="G8" s="117" t="s">
        <v>126</v>
      </c>
      <c r="H8" s="117" t="s">
        <v>127</v>
      </c>
      <c r="I8" s="117" t="s">
        <v>128</v>
      </c>
      <c r="J8" s="117" t="s">
        <v>129</v>
      </c>
      <c r="K8" s="117" t="s">
        <v>130</v>
      </c>
      <c r="L8" s="118" t="s">
        <v>131</v>
      </c>
      <c r="M8" s="117" t="s">
        <v>132</v>
      </c>
      <c r="N8" s="117" t="s">
        <v>133</v>
      </c>
      <c r="O8" s="117" t="s">
        <v>134</v>
      </c>
      <c r="P8" s="117" t="s">
        <v>135</v>
      </c>
      <c r="Q8" s="119" t="s">
        <v>136</v>
      </c>
      <c r="R8" s="119" t="s">
        <v>137</v>
      </c>
      <c r="S8" s="119" t="s">
        <v>137</v>
      </c>
      <c r="T8" s="119" t="s">
        <v>137</v>
      </c>
      <c r="V8" s="173"/>
      <c r="W8" s="173">
        <v>2020</v>
      </c>
      <c r="X8" s="173">
        <v>2021</v>
      </c>
      <c r="Y8" s="173">
        <v>2022</v>
      </c>
      <c r="Z8" s="173">
        <v>2023</v>
      </c>
      <c r="AA8" s="173">
        <v>2024</v>
      </c>
      <c r="AB8" s="173" t="s">
        <v>199</v>
      </c>
    </row>
    <row r="9" spans="1:32" ht="10.35" customHeight="1">
      <c r="B9" s="120" t="s">
        <v>138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V9" s="173" t="s">
        <v>195</v>
      </c>
      <c r="W9" s="174">
        <f>E61</f>
        <v>165932179</v>
      </c>
      <c r="X9" s="174">
        <f>Q61</f>
        <v>190140935</v>
      </c>
      <c r="Y9" s="174">
        <f t="shared" ref="Y9:AA9" si="0">R61</f>
        <v>79733336</v>
      </c>
      <c r="Z9" s="174">
        <f t="shared" si="0"/>
        <v>82118984</v>
      </c>
      <c r="AA9" s="174">
        <f t="shared" si="0"/>
        <v>80281810</v>
      </c>
      <c r="AB9" s="174">
        <f>AVERAGE(X9:AA9)</f>
        <v>108068766.25</v>
      </c>
    </row>
    <row r="10" spans="1:32" ht="10.35" customHeight="1">
      <c r="B10" s="122" t="s">
        <v>139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V10" s="173" t="s">
        <v>196</v>
      </c>
      <c r="W10" s="174">
        <f>E60</f>
        <v>99440560</v>
      </c>
      <c r="X10" s="175">
        <f>Q60</f>
        <v>53091005</v>
      </c>
      <c r="Y10" s="175">
        <f t="shared" ref="Y10:AA10" si="1">R60</f>
        <v>24751396</v>
      </c>
      <c r="Z10" s="175">
        <f t="shared" si="1"/>
        <v>26276256</v>
      </c>
      <c r="AA10" s="175">
        <f t="shared" si="1"/>
        <v>27648630</v>
      </c>
      <c r="AB10" s="175">
        <f t="shared" ref="AB10:AB11" si="2">AVERAGE(X10:AA10)</f>
        <v>32941821.75</v>
      </c>
    </row>
    <row r="11" spans="1:32" ht="10.35" customHeight="1">
      <c r="B11" s="124" t="s">
        <v>140</v>
      </c>
      <c r="C11" s="125">
        <v>167878010</v>
      </c>
      <c r="D11" s="125">
        <v>275489752</v>
      </c>
      <c r="E11" s="125">
        <v>160405118</v>
      </c>
      <c r="F11" s="125">
        <v>150840077</v>
      </c>
      <c r="G11" s="125">
        <v>135188950</v>
      </c>
      <c r="H11" s="125">
        <v>123989409</v>
      </c>
      <c r="I11" s="125">
        <v>121847027</v>
      </c>
      <c r="J11" s="125">
        <v>127722555</v>
      </c>
      <c r="K11" s="125">
        <v>123464386</v>
      </c>
      <c r="L11" s="125">
        <v>126937336</v>
      </c>
      <c r="M11" s="125">
        <v>124274011</v>
      </c>
      <c r="N11" s="125">
        <v>111622553</v>
      </c>
      <c r="O11" s="125">
        <v>105890133</v>
      </c>
      <c r="P11" s="125">
        <v>103117042</v>
      </c>
      <c r="Q11" s="125">
        <v>95606591</v>
      </c>
      <c r="R11" s="125">
        <v>65355556</v>
      </c>
      <c r="S11" s="125">
        <v>66329574</v>
      </c>
      <c r="T11" s="125">
        <v>71197177</v>
      </c>
      <c r="V11" s="173" t="s">
        <v>194</v>
      </c>
      <c r="W11" s="174">
        <f>P71</f>
        <v>756418138.5</v>
      </c>
      <c r="X11" s="175">
        <f>Q71</f>
        <v>752871182</v>
      </c>
      <c r="Y11" s="175">
        <f t="shared" ref="Y11:AA11" si="3">R71</f>
        <v>967241038</v>
      </c>
      <c r="Z11" s="175">
        <f t="shared" si="3"/>
        <v>1015937685</v>
      </c>
      <c r="AA11" s="175">
        <f t="shared" si="3"/>
        <v>1052304565</v>
      </c>
      <c r="AB11" s="175">
        <f t="shared" si="2"/>
        <v>947088617.5</v>
      </c>
      <c r="AC11" s="126"/>
      <c r="AD11" s="126"/>
      <c r="AE11" s="126"/>
      <c r="AF11" s="126"/>
    </row>
    <row r="12" spans="1:32" ht="10.35" customHeight="1">
      <c r="B12" s="124" t="s">
        <v>141</v>
      </c>
      <c r="C12" s="125">
        <v>130191342</v>
      </c>
      <c r="D12" s="125">
        <v>11258366</v>
      </c>
      <c r="E12" s="125">
        <v>839244</v>
      </c>
      <c r="F12" s="125">
        <v>839244</v>
      </c>
      <c r="G12" s="125">
        <v>839244</v>
      </c>
      <c r="H12" s="125">
        <v>839244</v>
      </c>
      <c r="I12" s="125">
        <v>839244</v>
      </c>
      <c r="J12" s="125">
        <v>839244</v>
      </c>
      <c r="K12" s="125">
        <v>839244</v>
      </c>
      <c r="L12" s="125">
        <v>839244</v>
      </c>
      <c r="M12" s="125">
        <v>839244</v>
      </c>
      <c r="N12" s="125">
        <v>839244</v>
      </c>
      <c r="O12" s="125">
        <v>839244</v>
      </c>
      <c r="P12" s="125">
        <v>839244</v>
      </c>
      <c r="Q12" s="125">
        <v>839244</v>
      </c>
      <c r="R12" s="125">
        <v>881206</v>
      </c>
      <c r="S12" s="125">
        <v>925266</v>
      </c>
      <c r="T12" s="125">
        <v>971529</v>
      </c>
      <c r="V12" s="173"/>
      <c r="W12" s="173"/>
      <c r="X12" s="173"/>
      <c r="Y12" s="173"/>
      <c r="Z12" s="173"/>
      <c r="AA12" s="173"/>
      <c r="AB12" s="174"/>
      <c r="AC12" s="126"/>
      <c r="AD12" s="126"/>
      <c r="AE12" s="126"/>
      <c r="AF12" s="126"/>
    </row>
    <row r="13" spans="1:32" ht="10.35" customHeight="1">
      <c r="B13" s="124" t="s">
        <v>142</v>
      </c>
      <c r="C13" s="125">
        <v>29117224</v>
      </c>
      <c r="D13" s="125">
        <v>24735989</v>
      </c>
      <c r="E13" s="125">
        <v>10109384</v>
      </c>
      <c r="F13" s="125">
        <v>10050704</v>
      </c>
      <c r="G13" s="125">
        <v>10434387</v>
      </c>
      <c r="H13" s="125">
        <v>10408561</v>
      </c>
      <c r="I13" s="125">
        <v>10386751</v>
      </c>
      <c r="J13" s="125">
        <v>10431138</v>
      </c>
      <c r="K13" s="125">
        <v>10432311</v>
      </c>
      <c r="L13" s="125">
        <v>10667671</v>
      </c>
      <c r="M13" s="125">
        <v>10455942</v>
      </c>
      <c r="N13" s="125">
        <v>11687396</v>
      </c>
      <c r="O13" s="125">
        <v>11589702</v>
      </c>
      <c r="P13" s="125">
        <v>12001816</v>
      </c>
      <c r="Q13" s="125">
        <v>12843663</v>
      </c>
      <c r="R13" s="125">
        <v>10278825</v>
      </c>
      <c r="S13" s="125">
        <v>6438618</v>
      </c>
      <c r="T13" s="125">
        <v>319087</v>
      </c>
      <c r="V13" s="173" t="s">
        <v>197</v>
      </c>
      <c r="W13" s="173"/>
      <c r="X13" s="176">
        <f>X9/X11</f>
        <v>0.25255440710971455</v>
      </c>
      <c r="Y13" s="176">
        <f t="shared" ref="Y13:AA13" si="4">Y9/Y11</f>
        <v>8.2433781102658296E-2</v>
      </c>
      <c r="Z13" s="176">
        <f t="shared" si="4"/>
        <v>8.0830729298126194E-2</v>
      </c>
      <c r="AA13" s="176">
        <f t="shared" si="4"/>
        <v>7.6291420440621205E-2</v>
      </c>
      <c r="AB13" s="176">
        <f>AVERAGE(X13:AA13)</f>
        <v>0.12302758448778006</v>
      </c>
      <c r="AC13" s="140"/>
      <c r="AD13" s="126"/>
      <c r="AE13" s="126"/>
      <c r="AF13" s="126"/>
    </row>
    <row r="14" spans="1:32" ht="10.35" customHeight="1">
      <c r="B14" s="124" t="s">
        <v>143</v>
      </c>
      <c r="C14" s="125">
        <v>7511150</v>
      </c>
      <c r="D14" s="125">
        <v>6434922</v>
      </c>
      <c r="E14" s="125">
        <v>15590211</v>
      </c>
      <c r="F14" s="125">
        <v>15605801</v>
      </c>
      <c r="G14" s="125">
        <v>15621407</v>
      </c>
      <c r="H14" s="125">
        <v>27944671</v>
      </c>
      <c r="I14" s="125">
        <v>27972616</v>
      </c>
      <c r="J14" s="125">
        <v>28000589</v>
      </c>
      <c r="K14" s="125">
        <v>15720948</v>
      </c>
      <c r="L14" s="125">
        <v>15736669</v>
      </c>
      <c r="M14" s="125">
        <v>15752406</v>
      </c>
      <c r="N14" s="125">
        <v>15768158</v>
      </c>
      <c r="O14" s="125">
        <v>15783926</v>
      </c>
      <c r="P14" s="125">
        <v>15799710</v>
      </c>
      <c r="Q14" s="125">
        <v>15815510</v>
      </c>
      <c r="R14" s="125">
        <v>15973665</v>
      </c>
      <c r="S14" s="125">
        <v>16133402</v>
      </c>
      <c r="T14" s="125">
        <v>16294736</v>
      </c>
      <c r="V14" s="173" t="s">
        <v>198</v>
      </c>
      <c r="W14" s="177">
        <f>W10/W11</f>
        <v>0.13146242129676269</v>
      </c>
      <c r="X14" s="178">
        <f>X10/X11</f>
        <v>7.0518046472391072E-2</v>
      </c>
      <c r="Y14" s="178">
        <f t="shared" ref="Y14:AA14" si="5">Y10/Y11</f>
        <v>2.5589687603804916E-2</v>
      </c>
      <c r="Z14" s="178">
        <f t="shared" si="5"/>
        <v>2.5864043029371432E-2</v>
      </c>
      <c r="AA14" s="178">
        <f t="shared" si="5"/>
        <v>2.6274360978373216E-2</v>
      </c>
      <c r="AB14" s="178">
        <f>AVERAGE(X14:AA14)</f>
        <v>3.7061534520985158E-2</v>
      </c>
      <c r="AC14" s="178"/>
      <c r="AD14" s="126"/>
      <c r="AE14" s="126"/>
      <c r="AF14" s="126"/>
    </row>
    <row r="15" spans="1:32" ht="10.35" customHeight="1">
      <c r="B15" s="124" t="s">
        <v>144</v>
      </c>
      <c r="C15" s="125">
        <v>434889.88000000082</v>
      </c>
      <c r="D15" s="125">
        <v>158915</v>
      </c>
      <c r="E15" s="125">
        <v>338297</v>
      </c>
      <c r="F15" s="125">
        <v>338635</v>
      </c>
      <c r="G15" s="125">
        <v>338974</v>
      </c>
      <c r="H15" s="125">
        <v>339313</v>
      </c>
      <c r="I15" s="125">
        <v>339652</v>
      </c>
      <c r="J15" s="125">
        <v>339992</v>
      </c>
      <c r="K15" s="125">
        <v>340332</v>
      </c>
      <c r="L15" s="125">
        <v>340673</v>
      </c>
      <c r="M15" s="125">
        <v>341014</v>
      </c>
      <c r="N15" s="125">
        <v>341355</v>
      </c>
      <c r="O15" s="125">
        <v>341696</v>
      </c>
      <c r="P15" s="125">
        <v>342037</v>
      </c>
      <c r="Q15" s="125">
        <v>342379</v>
      </c>
      <c r="R15" s="125">
        <v>345803</v>
      </c>
      <c r="S15" s="125">
        <v>349261</v>
      </c>
      <c r="T15" s="125">
        <v>352754</v>
      </c>
      <c r="AB15" s="126"/>
      <c r="AC15" s="126"/>
      <c r="AD15" s="126"/>
      <c r="AE15" s="126"/>
      <c r="AF15" s="126"/>
    </row>
    <row r="16" spans="1:32" ht="10.35" customHeight="1">
      <c r="B16" s="124" t="s">
        <v>145</v>
      </c>
      <c r="C16" s="125">
        <v>5289758</v>
      </c>
      <c r="D16" s="125">
        <v>9433955</v>
      </c>
      <c r="E16" s="125">
        <v>5409123</v>
      </c>
      <c r="F16" s="125">
        <v>5415169</v>
      </c>
      <c r="G16" s="125">
        <v>5421221</v>
      </c>
      <c r="H16" s="125">
        <v>5427279</v>
      </c>
      <c r="I16" s="125">
        <v>5433343</v>
      </c>
      <c r="J16" s="125">
        <v>5439413</v>
      </c>
      <c r="K16" s="125">
        <v>5445489</v>
      </c>
      <c r="L16" s="125">
        <v>5451571</v>
      </c>
      <c r="M16" s="125">
        <v>5457659</v>
      </c>
      <c r="N16" s="125">
        <v>5463753</v>
      </c>
      <c r="O16" s="125">
        <v>5469853</v>
      </c>
      <c r="P16" s="125">
        <v>5475960</v>
      </c>
      <c r="Q16" s="125">
        <v>5482073</v>
      </c>
      <c r="R16" s="125">
        <v>5543261</v>
      </c>
      <c r="S16" s="125">
        <v>5605061</v>
      </c>
      <c r="T16" s="125">
        <v>5667479</v>
      </c>
      <c r="AB16" s="126"/>
      <c r="AC16" s="126"/>
      <c r="AD16" s="126"/>
      <c r="AE16" s="126"/>
      <c r="AF16" s="126"/>
    </row>
    <row r="17" spans="2:32" ht="10.35" customHeight="1">
      <c r="B17" s="124" t="s">
        <v>146</v>
      </c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AB17" s="126"/>
      <c r="AC17" s="126"/>
      <c r="AD17" s="126"/>
      <c r="AE17" s="126"/>
      <c r="AF17" s="126"/>
    </row>
    <row r="18" spans="2:32" ht="10.35" customHeight="1">
      <c r="B18" s="124" t="s">
        <v>147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AC18" s="126"/>
      <c r="AD18" s="126"/>
      <c r="AE18" s="126"/>
      <c r="AF18" s="126"/>
    </row>
    <row r="19" spans="2:32" ht="10.35" customHeight="1">
      <c r="B19" s="124" t="s">
        <v>148</v>
      </c>
      <c r="C19" s="125">
        <v>0</v>
      </c>
      <c r="D19" s="125">
        <v>4151934</v>
      </c>
      <c r="E19" s="125">
        <v>12307642</v>
      </c>
      <c r="F19" s="125">
        <v>13226397</v>
      </c>
      <c r="G19" s="125">
        <v>14199843</v>
      </c>
      <c r="H19" s="125">
        <v>2929435</v>
      </c>
      <c r="I19" s="125">
        <v>3464274</v>
      </c>
      <c r="J19" s="125">
        <v>3464274</v>
      </c>
      <c r="K19" s="125">
        <v>3464274</v>
      </c>
      <c r="L19" s="125">
        <v>3464274</v>
      </c>
      <c r="M19" s="125">
        <v>3464274</v>
      </c>
      <c r="N19" s="125">
        <v>3464274</v>
      </c>
      <c r="O19" s="125">
        <v>3464274</v>
      </c>
      <c r="P19" s="125">
        <v>3464274</v>
      </c>
      <c r="Q19" s="125">
        <v>3464274</v>
      </c>
      <c r="R19" s="125">
        <v>4773332</v>
      </c>
      <c r="S19" s="125">
        <v>5597557</v>
      </c>
      <c r="T19" s="125">
        <v>6419249</v>
      </c>
      <c r="Y19" s="126">
        <f>Y11-X11</f>
        <v>214369856</v>
      </c>
      <c r="Z19" s="126">
        <f t="shared" ref="Z19:AA19" si="6">Z11-Y11</f>
        <v>48696647</v>
      </c>
      <c r="AA19" s="126">
        <f t="shared" si="6"/>
        <v>36366880</v>
      </c>
      <c r="AC19" s="126"/>
      <c r="AD19" s="126"/>
      <c r="AE19" s="126"/>
      <c r="AF19" s="126"/>
    </row>
    <row r="20" spans="2:32" ht="10.35" customHeight="1">
      <c r="B20" s="124" t="s">
        <v>149</v>
      </c>
      <c r="C20" s="125">
        <v>135670</v>
      </c>
      <c r="D20" s="125">
        <v>49980</v>
      </c>
      <c r="E20" s="125">
        <v>1231543</v>
      </c>
      <c r="F20" s="125">
        <v>1232775</v>
      </c>
      <c r="G20" s="125">
        <v>1234008</v>
      </c>
      <c r="H20" s="125">
        <v>1235242</v>
      </c>
      <c r="I20" s="125">
        <v>1236477</v>
      </c>
      <c r="J20" s="125">
        <v>1237713</v>
      </c>
      <c r="K20" s="125">
        <v>1238951</v>
      </c>
      <c r="L20" s="125">
        <v>1240190</v>
      </c>
      <c r="M20" s="125">
        <v>1241430</v>
      </c>
      <c r="N20" s="125">
        <v>1242671</v>
      </c>
      <c r="O20" s="125">
        <v>1243914</v>
      </c>
      <c r="P20" s="125">
        <v>1245158</v>
      </c>
      <c r="Q20" s="125">
        <v>1246403</v>
      </c>
      <c r="R20" s="125">
        <v>1258867</v>
      </c>
      <c r="S20" s="125">
        <v>1271456</v>
      </c>
      <c r="T20" s="125">
        <v>1284171</v>
      </c>
      <c r="AC20" s="126"/>
      <c r="AD20" s="126"/>
      <c r="AE20" s="126"/>
      <c r="AF20" s="126"/>
    </row>
    <row r="21" spans="2:32" ht="10.35" customHeight="1">
      <c r="B21" s="124" t="s">
        <v>150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AC21" s="126"/>
      <c r="AD21" s="126"/>
      <c r="AE21" s="126"/>
      <c r="AF21" s="126"/>
    </row>
    <row r="22" spans="2:32" ht="10.35" customHeight="1">
      <c r="B22" s="127" t="s">
        <v>151</v>
      </c>
      <c r="C22" s="128">
        <f t="shared" ref="C22" si="7">SUM(C11:C21)</f>
        <v>340558043.88</v>
      </c>
      <c r="D22" s="128">
        <f t="shared" ref="D22:T22" si="8">SUM(D11:D21)</f>
        <v>331713813</v>
      </c>
      <c r="E22" s="128">
        <f t="shared" si="8"/>
        <v>206230562</v>
      </c>
      <c r="F22" s="128">
        <f t="shared" si="8"/>
        <v>197548802</v>
      </c>
      <c r="G22" s="128">
        <f t="shared" si="8"/>
        <v>183278034</v>
      </c>
      <c r="H22" s="128">
        <f t="shared" si="8"/>
        <v>173113154</v>
      </c>
      <c r="I22" s="128">
        <f t="shared" si="8"/>
        <v>171519384</v>
      </c>
      <c r="J22" s="128">
        <f t="shared" si="8"/>
        <v>177474918</v>
      </c>
      <c r="K22" s="128">
        <f t="shared" si="8"/>
        <v>160945935</v>
      </c>
      <c r="L22" s="128">
        <f t="shared" si="8"/>
        <v>164677628</v>
      </c>
      <c r="M22" s="128">
        <f t="shared" si="8"/>
        <v>161825980</v>
      </c>
      <c r="N22" s="128">
        <f t="shared" si="8"/>
        <v>150429404</v>
      </c>
      <c r="O22" s="128">
        <f t="shared" si="8"/>
        <v>144622742</v>
      </c>
      <c r="P22" s="128">
        <f t="shared" si="8"/>
        <v>142285241</v>
      </c>
      <c r="Q22" s="128">
        <f t="shared" si="8"/>
        <v>135640137</v>
      </c>
      <c r="R22" s="128">
        <f t="shared" si="8"/>
        <v>104410515</v>
      </c>
      <c r="S22" s="128">
        <f t="shared" si="8"/>
        <v>102650195</v>
      </c>
      <c r="T22" s="128">
        <f t="shared" si="8"/>
        <v>102506182</v>
      </c>
      <c r="AC22" s="126"/>
      <c r="AD22" s="126"/>
      <c r="AE22" s="126"/>
      <c r="AF22" s="126"/>
    </row>
    <row r="23" spans="2:32" ht="10.35" customHeight="1">
      <c r="B23" s="122" t="s">
        <v>152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AC23" s="126"/>
      <c r="AD23" s="126"/>
      <c r="AE23" s="126"/>
      <c r="AF23" s="126"/>
    </row>
    <row r="24" spans="2:32" ht="10.35" customHeight="1">
      <c r="B24" s="124" t="s">
        <v>153</v>
      </c>
      <c r="C24" s="125"/>
      <c r="D24" s="125"/>
      <c r="E24" s="125"/>
      <c r="F24" s="125">
        <v>0</v>
      </c>
      <c r="G24" s="125">
        <v>0</v>
      </c>
      <c r="H24" s="125">
        <v>0</v>
      </c>
      <c r="I24" s="125">
        <v>0</v>
      </c>
      <c r="J24" s="12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Q24" s="125"/>
      <c r="R24" s="125"/>
      <c r="S24" s="125"/>
      <c r="T24" s="125"/>
      <c r="AB24" s="126"/>
      <c r="AC24" s="126"/>
      <c r="AD24" s="126"/>
      <c r="AE24" s="126"/>
      <c r="AF24" s="126"/>
    </row>
    <row r="25" spans="2:32" ht="10.35" customHeight="1">
      <c r="B25" s="124" t="s">
        <v>154</v>
      </c>
      <c r="C25" s="125">
        <v>32949475</v>
      </c>
      <c r="D25" s="125">
        <v>15568409</v>
      </c>
      <c r="E25" s="125">
        <v>11201588</v>
      </c>
      <c r="F25" s="125">
        <v>11212790</v>
      </c>
      <c r="G25" s="125">
        <v>11224003</v>
      </c>
      <c r="H25" s="125">
        <v>8235227</v>
      </c>
      <c r="I25" s="125">
        <v>8243462</v>
      </c>
      <c r="J25" s="125">
        <v>8251705</v>
      </c>
      <c r="K25" s="125">
        <v>5259957</v>
      </c>
      <c r="L25" s="125">
        <v>5265217</v>
      </c>
      <c r="M25" s="125">
        <v>5270482</v>
      </c>
      <c r="N25" s="125">
        <v>2275752</v>
      </c>
      <c r="O25" s="125">
        <v>2278028</v>
      </c>
      <c r="P25" s="125">
        <v>2280306</v>
      </c>
      <c r="Q25" s="125">
        <v>2282586</v>
      </c>
      <c r="R25" s="125">
        <v>2054327</v>
      </c>
      <c r="S25" s="125">
        <v>1848894</v>
      </c>
      <c r="T25" s="125">
        <v>1664005</v>
      </c>
      <c r="AB25" s="126"/>
      <c r="AC25" s="126"/>
      <c r="AD25" s="126"/>
      <c r="AE25" s="126"/>
      <c r="AF25" s="126"/>
    </row>
    <row r="26" spans="2:32" ht="10.35" customHeight="1">
      <c r="B26" s="124" t="s">
        <v>144</v>
      </c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AB26" s="126"/>
      <c r="AC26" s="126"/>
      <c r="AD26" s="126"/>
      <c r="AE26" s="126"/>
      <c r="AF26" s="126"/>
    </row>
    <row r="27" spans="2:32" ht="10.35" customHeight="1">
      <c r="B27" s="124" t="s">
        <v>146</v>
      </c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AB27" s="126"/>
      <c r="AC27" s="126"/>
      <c r="AD27" s="126"/>
      <c r="AE27" s="126"/>
      <c r="AF27" s="126"/>
    </row>
    <row r="28" spans="2:32" ht="10.35" customHeight="1">
      <c r="B28" s="129" t="s">
        <v>155</v>
      </c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AB28" s="126"/>
      <c r="AC28" s="126"/>
      <c r="AD28" s="126"/>
      <c r="AE28" s="126"/>
      <c r="AF28" s="126"/>
    </row>
    <row r="29" spans="2:32" ht="10.35" customHeight="1">
      <c r="B29" s="129" t="s">
        <v>156</v>
      </c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AB29" s="126"/>
      <c r="AC29" s="126"/>
      <c r="AD29" s="126"/>
      <c r="AE29" s="126"/>
      <c r="AF29" s="126"/>
    </row>
    <row r="30" spans="2:32" ht="10.35" customHeight="1">
      <c r="B30" s="124" t="s">
        <v>157</v>
      </c>
      <c r="C30" s="125">
        <v>646994403</v>
      </c>
      <c r="D30" s="125">
        <v>735988082</v>
      </c>
      <c r="E30" s="125">
        <v>717043973</v>
      </c>
      <c r="F30" s="125">
        <v>713482038</v>
      </c>
      <c r="G30" s="125">
        <v>709401228</v>
      </c>
      <c r="H30" s="125">
        <v>705818954</v>
      </c>
      <c r="I30" s="125">
        <v>713404916</v>
      </c>
      <c r="J30" s="125">
        <v>713690620</v>
      </c>
      <c r="K30" s="125">
        <v>717479430</v>
      </c>
      <c r="L30" s="125">
        <v>716607820</v>
      </c>
      <c r="M30" s="125">
        <v>722766103</v>
      </c>
      <c r="N30" s="125">
        <v>739326665</v>
      </c>
      <c r="O30" s="125">
        <v>748005480</v>
      </c>
      <c r="P30" s="125">
        <v>751389309</v>
      </c>
      <c r="Q30" s="125">
        <v>753926174</v>
      </c>
      <c r="R30" s="125">
        <v>874268754</v>
      </c>
      <c r="S30" s="125">
        <v>920340525</v>
      </c>
      <c r="T30" s="125">
        <v>959801180</v>
      </c>
      <c r="AB30" s="126"/>
      <c r="AC30" s="126"/>
      <c r="AD30" s="126"/>
      <c r="AE30" s="126"/>
      <c r="AF30" s="126"/>
    </row>
    <row r="31" spans="2:32" ht="10.35" customHeight="1">
      <c r="B31" s="124" t="s">
        <v>158</v>
      </c>
      <c r="C31" s="125">
        <v>13461825</v>
      </c>
      <c r="D31" s="125">
        <v>11570784</v>
      </c>
      <c r="E31" s="125">
        <v>9886056</v>
      </c>
      <c r="F31" s="125">
        <v>9724565</v>
      </c>
      <c r="G31" s="125">
        <v>9563074</v>
      </c>
      <c r="H31" s="125">
        <v>9401583</v>
      </c>
      <c r="I31" s="125">
        <v>9240092</v>
      </c>
      <c r="J31" s="125">
        <v>9078601</v>
      </c>
      <c r="K31" s="125">
        <v>8917110</v>
      </c>
      <c r="L31" s="125">
        <v>8755619</v>
      </c>
      <c r="M31" s="125">
        <v>8594128</v>
      </c>
      <c r="N31" s="125">
        <v>8432637</v>
      </c>
      <c r="O31" s="125">
        <v>8271146</v>
      </c>
      <c r="P31" s="125">
        <v>8109655</v>
      </c>
      <c r="Q31" s="125">
        <v>7948164</v>
      </c>
      <c r="R31" s="125">
        <v>6010272</v>
      </c>
      <c r="S31" s="125">
        <v>4072380</v>
      </c>
      <c r="T31" s="125">
        <v>2134488</v>
      </c>
      <c r="AB31" s="126"/>
      <c r="AC31" s="126"/>
      <c r="AD31" s="126"/>
      <c r="AE31" s="126"/>
      <c r="AF31" s="126"/>
    </row>
    <row r="32" spans="2:32" ht="10.35" customHeight="1">
      <c r="B32" s="124" t="s">
        <v>159</v>
      </c>
      <c r="C32" s="125"/>
      <c r="D32" s="125"/>
      <c r="E32" s="125">
        <v>10994880</v>
      </c>
      <c r="F32" s="125">
        <v>14870751</v>
      </c>
      <c r="G32" s="125">
        <v>20678351</v>
      </c>
      <c r="H32" s="125">
        <v>24194094</v>
      </c>
      <c r="I32" s="125">
        <v>27168217</v>
      </c>
      <c r="J32" s="125">
        <v>30170512</v>
      </c>
      <c r="K32" s="125">
        <v>33209689</v>
      </c>
      <c r="L32" s="125">
        <v>35342211</v>
      </c>
      <c r="M32" s="125">
        <v>37363590</v>
      </c>
      <c r="N32" s="125">
        <v>38693262</v>
      </c>
      <c r="O32" s="125">
        <v>39986142</v>
      </c>
      <c r="P32" s="125">
        <v>41115347</v>
      </c>
      <c r="Q32" s="125">
        <v>43215056</v>
      </c>
      <c r="R32" s="125">
        <v>60230506</v>
      </c>
      <c r="S32" s="125">
        <v>69144675</v>
      </c>
      <c r="T32" s="125">
        <v>66480520</v>
      </c>
      <c r="AB32" s="126"/>
      <c r="AC32" s="126"/>
      <c r="AD32" s="126"/>
      <c r="AE32" s="126"/>
      <c r="AF32" s="126"/>
    </row>
    <row r="33" spans="2:32" s="100" customFormat="1" ht="10.35" customHeight="1">
      <c r="B33" s="124" t="s">
        <v>150</v>
      </c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AB33" s="126"/>
      <c r="AC33" s="126"/>
      <c r="AD33" s="126"/>
      <c r="AE33" s="126"/>
      <c r="AF33" s="126"/>
    </row>
    <row r="34" spans="2:32" s="100" customFormat="1" ht="10.35" customHeight="1">
      <c r="B34" s="127" t="s">
        <v>160</v>
      </c>
      <c r="C34" s="128">
        <f t="shared" ref="C34:T34" si="9">SUM(C24:C33)</f>
        <v>693405703</v>
      </c>
      <c r="D34" s="128">
        <f t="shared" si="9"/>
        <v>763127275</v>
      </c>
      <c r="E34" s="128">
        <f t="shared" si="9"/>
        <v>749126497</v>
      </c>
      <c r="F34" s="128">
        <f t="shared" si="9"/>
        <v>749290144</v>
      </c>
      <c r="G34" s="128">
        <f t="shared" si="9"/>
        <v>750866656</v>
      </c>
      <c r="H34" s="128">
        <f t="shared" si="9"/>
        <v>747649858</v>
      </c>
      <c r="I34" s="128">
        <f t="shared" si="9"/>
        <v>758056687</v>
      </c>
      <c r="J34" s="128">
        <f t="shared" si="9"/>
        <v>761191438</v>
      </c>
      <c r="K34" s="128">
        <f t="shared" si="9"/>
        <v>764866186</v>
      </c>
      <c r="L34" s="128">
        <f t="shared" si="9"/>
        <v>765970867</v>
      </c>
      <c r="M34" s="128">
        <f t="shared" si="9"/>
        <v>773994303</v>
      </c>
      <c r="N34" s="128">
        <f t="shared" si="9"/>
        <v>788728316</v>
      </c>
      <c r="O34" s="128">
        <f t="shared" si="9"/>
        <v>798540796</v>
      </c>
      <c r="P34" s="128">
        <f t="shared" si="9"/>
        <v>802894617</v>
      </c>
      <c r="Q34" s="128">
        <f t="shared" si="9"/>
        <v>807371980</v>
      </c>
      <c r="R34" s="128">
        <f t="shared" si="9"/>
        <v>942563859</v>
      </c>
      <c r="S34" s="128">
        <f t="shared" si="9"/>
        <v>995406474</v>
      </c>
      <c r="T34" s="128">
        <f t="shared" si="9"/>
        <v>1030080193</v>
      </c>
      <c r="AB34" s="126"/>
      <c r="AC34" s="126"/>
      <c r="AD34" s="126"/>
      <c r="AE34" s="126"/>
      <c r="AF34" s="126"/>
    </row>
    <row r="35" spans="2:32" s="100" customFormat="1">
      <c r="B35" s="131" t="s">
        <v>161</v>
      </c>
      <c r="C35" s="132">
        <f t="shared" ref="C35:T35" si="10">+C22+C34</f>
        <v>1033963746.88</v>
      </c>
      <c r="D35" s="132">
        <f t="shared" si="10"/>
        <v>1094841088</v>
      </c>
      <c r="E35" s="132">
        <f t="shared" si="10"/>
        <v>955357059</v>
      </c>
      <c r="F35" s="132">
        <f t="shared" si="10"/>
        <v>946838946</v>
      </c>
      <c r="G35" s="132">
        <f t="shared" si="10"/>
        <v>934144690</v>
      </c>
      <c r="H35" s="132">
        <f t="shared" si="10"/>
        <v>920763012</v>
      </c>
      <c r="I35" s="132">
        <f t="shared" si="10"/>
        <v>929576071</v>
      </c>
      <c r="J35" s="132">
        <f t="shared" si="10"/>
        <v>938666356</v>
      </c>
      <c r="K35" s="132">
        <f t="shared" si="10"/>
        <v>925812121</v>
      </c>
      <c r="L35" s="132">
        <f t="shared" si="10"/>
        <v>930648495</v>
      </c>
      <c r="M35" s="132">
        <f t="shared" si="10"/>
        <v>935820283</v>
      </c>
      <c r="N35" s="132">
        <f t="shared" si="10"/>
        <v>939157720</v>
      </c>
      <c r="O35" s="132">
        <f t="shared" si="10"/>
        <v>943163538</v>
      </c>
      <c r="P35" s="132">
        <f t="shared" si="10"/>
        <v>945179858</v>
      </c>
      <c r="Q35" s="132">
        <f t="shared" si="10"/>
        <v>943012117</v>
      </c>
      <c r="R35" s="132">
        <f t="shared" si="10"/>
        <v>1046974374</v>
      </c>
      <c r="S35" s="132">
        <f t="shared" si="10"/>
        <v>1098056669</v>
      </c>
      <c r="T35" s="132">
        <f t="shared" si="10"/>
        <v>1132586375</v>
      </c>
      <c r="AB35" s="126"/>
      <c r="AC35" s="126"/>
      <c r="AD35" s="126"/>
      <c r="AE35" s="126"/>
      <c r="AF35" s="126"/>
    </row>
    <row r="36" spans="2:32" s="100" customFormat="1">
      <c r="B36" s="133" t="s">
        <v>162</v>
      </c>
      <c r="C36" s="134">
        <v>158612409</v>
      </c>
      <c r="D36" s="134">
        <v>144875328</v>
      </c>
      <c r="E36" s="134">
        <v>194928741</v>
      </c>
      <c r="F36" s="134">
        <v>194928741</v>
      </c>
      <c r="G36" s="134">
        <v>194928741</v>
      </c>
      <c r="H36" s="134">
        <v>194928741</v>
      </c>
      <c r="I36" s="134">
        <v>194928741</v>
      </c>
      <c r="J36" s="134">
        <v>194928741</v>
      </c>
      <c r="K36" s="134">
        <v>194928741</v>
      </c>
      <c r="L36" s="134">
        <v>194928741</v>
      </c>
      <c r="M36" s="134">
        <v>194928741</v>
      </c>
      <c r="N36" s="134">
        <v>194928741</v>
      </c>
      <c r="O36" s="134">
        <v>194928741</v>
      </c>
      <c r="P36" s="134">
        <v>194928741</v>
      </c>
      <c r="Q36" s="134">
        <v>194928741</v>
      </c>
      <c r="R36" s="134">
        <v>196878028</v>
      </c>
      <c r="S36" s="134">
        <v>198846808</v>
      </c>
      <c r="T36" s="134">
        <v>200835276</v>
      </c>
      <c r="AB36" s="126"/>
      <c r="AC36" s="126"/>
      <c r="AD36" s="126"/>
      <c r="AE36" s="126"/>
      <c r="AF36" s="126"/>
    </row>
    <row r="37" spans="2:32" s="100" customFormat="1">
      <c r="B37" s="122" t="s">
        <v>163</v>
      </c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AB37" s="126"/>
      <c r="AC37" s="126"/>
      <c r="AD37" s="126"/>
      <c r="AE37" s="126"/>
      <c r="AF37" s="126"/>
    </row>
    <row r="38" spans="2:32" s="100" customFormat="1">
      <c r="B38" s="122" t="s">
        <v>164</v>
      </c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AB38" s="126"/>
      <c r="AC38" s="126"/>
      <c r="AD38" s="126"/>
      <c r="AE38" s="126"/>
      <c r="AF38" s="126"/>
    </row>
    <row r="39" spans="2:32" s="100" customFormat="1">
      <c r="B39" s="124" t="s">
        <v>165</v>
      </c>
      <c r="C39" s="125"/>
      <c r="D39" s="125">
        <v>111421</v>
      </c>
      <c r="E39" s="135">
        <v>129926</v>
      </c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25"/>
      <c r="S39" s="125"/>
      <c r="T39" s="125"/>
      <c r="AB39" s="126"/>
      <c r="AC39" s="126"/>
      <c r="AD39" s="126"/>
      <c r="AE39" s="126"/>
      <c r="AF39" s="126"/>
    </row>
    <row r="40" spans="2:32" s="100" customFormat="1">
      <c r="B40" s="124" t="s">
        <v>166</v>
      </c>
      <c r="C40" s="125">
        <v>31171</v>
      </c>
      <c r="D40" s="125"/>
      <c r="E40" s="125"/>
      <c r="F40" s="135">
        <v>0</v>
      </c>
      <c r="G40" s="135">
        <v>0</v>
      </c>
      <c r="H40" s="135">
        <v>0</v>
      </c>
      <c r="I40" s="135">
        <v>15000000</v>
      </c>
      <c r="J40" s="135">
        <v>30000000</v>
      </c>
      <c r="K40" s="135">
        <v>40000000</v>
      </c>
      <c r="L40" s="135">
        <v>50000000</v>
      </c>
      <c r="M40" s="135">
        <v>60000000</v>
      </c>
      <c r="N40" s="135">
        <v>70000000</v>
      </c>
      <c r="O40" s="135">
        <v>77510302</v>
      </c>
      <c r="P40" s="135">
        <v>82526795</v>
      </c>
      <c r="Q40" s="135">
        <v>85045360</v>
      </c>
      <c r="R40" s="125"/>
      <c r="S40" s="125"/>
      <c r="T40" s="125"/>
      <c r="AB40" s="126"/>
      <c r="AC40" s="126"/>
      <c r="AD40" s="126"/>
      <c r="AE40" s="126"/>
      <c r="AF40" s="126"/>
    </row>
    <row r="41" spans="2:32" s="100" customFormat="1">
      <c r="B41" s="124" t="s">
        <v>167</v>
      </c>
      <c r="C41" s="125">
        <v>57994812</v>
      </c>
      <c r="D41" s="125">
        <v>26900258</v>
      </c>
      <c r="E41" s="135">
        <v>24920490</v>
      </c>
      <c r="F41" s="135">
        <v>24945410</v>
      </c>
      <c r="G41" s="135">
        <v>24970355</v>
      </c>
      <c r="H41" s="135">
        <v>24995325</v>
      </c>
      <c r="I41" s="135">
        <v>25020320</v>
      </c>
      <c r="J41" s="135">
        <v>25045340</v>
      </c>
      <c r="K41" s="135">
        <v>20070385</v>
      </c>
      <c r="L41" s="135">
        <v>20090455</v>
      </c>
      <c r="M41" s="135">
        <v>20110545</v>
      </c>
      <c r="N41" s="135">
        <v>20130656</v>
      </c>
      <c r="O41" s="135">
        <v>20150787</v>
      </c>
      <c r="P41" s="135">
        <v>20170938</v>
      </c>
      <c r="Q41" s="135">
        <v>20191109</v>
      </c>
      <c r="R41" s="125">
        <v>20393020</v>
      </c>
      <c r="S41" s="125">
        <v>20596950</v>
      </c>
      <c r="T41" s="125">
        <v>20802920</v>
      </c>
      <c r="AB41" s="126"/>
      <c r="AC41" s="126"/>
      <c r="AD41" s="126"/>
      <c r="AE41" s="126"/>
      <c r="AF41" s="126"/>
    </row>
    <row r="42" spans="2:32" s="100" customFormat="1">
      <c r="B42" s="124" t="s">
        <v>168</v>
      </c>
      <c r="C42" s="125">
        <f>13989741+140298</f>
        <v>14130039</v>
      </c>
      <c r="D42" s="125">
        <f>16564522+134478</f>
        <v>16699000</v>
      </c>
      <c r="E42" s="135">
        <v>21659095</v>
      </c>
      <c r="F42" s="135">
        <v>21567383</v>
      </c>
      <c r="G42" s="135">
        <v>21785142</v>
      </c>
      <c r="H42" s="135">
        <v>19900798</v>
      </c>
      <c r="I42" s="135">
        <v>19856018</v>
      </c>
      <c r="J42" s="135">
        <v>20154821</v>
      </c>
      <c r="K42" s="135">
        <v>17801094</v>
      </c>
      <c r="L42" s="135">
        <v>17775668</v>
      </c>
      <c r="M42" s="135">
        <v>17820084</v>
      </c>
      <c r="N42" s="135">
        <v>17388280</v>
      </c>
      <c r="O42" s="135">
        <v>17015518</v>
      </c>
      <c r="P42" s="135">
        <v>16755952</v>
      </c>
      <c r="Q42" s="135">
        <v>15645669</v>
      </c>
      <c r="R42" s="125">
        <v>18259450</v>
      </c>
      <c r="S42" s="125">
        <v>18753013</v>
      </c>
      <c r="T42" s="125">
        <v>15172567</v>
      </c>
      <c r="AB42" s="126"/>
      <c r="AC42" s="126"/>
      <c r="AD42" s="126"/>
      <c r="AE42" s="126"/>
      <c r="AF42" s="126"/>
    </row>
    <row r="43" spans="2:32" s="100" customFormat="1">
      <c r="B43" s="124" t="s">
        <v>169</v>
      </c>
      <c r="C43" s="125">
        <v>4372905</v>
      </c>
      <c r="D43" s="125">
        <v>4349639</v>
      </c>
      <c r="E43" s="135">
        <v>2375109</v>
      </c>
      <c r="F43" s="135">
        <v>2377484</v>
      </c>
      <c r="G43" s="135">
        <v>2379861</v>
      </c>
      <c r="H43" s="135">
        <v>2382241</v>
      </c>
      <c r="I43" s="135">
        <v>2384623</v>
      </c>
      <c r="J43" s="135">
        <v>2387008</v>
      </c>
      <c r="K43" s="135">
        <v>2389395</v>
      </c>
      <c r="L43" s="135">
        <v>2391784</v>
      </c>
      <c r="M43" s="135">
        <v>2394176</v>
      </c>
      <c r="N43" s="135">
        <v>2396570</v>
      </c>
      <c r="O43" s="135">
        <v>2398967</v>
      </c>
      <c r="P43" s="135">
        <v>2401366</v>
      </c>
      <c r="Q43" s="135">
        <v>2403767</v>
      </c>
      <c r="R43" s="125">
        <v>2427805</v>
      </c>
      <c r="S43" s="125">
        <v>2452083</v>
      </c>
      <c r="T43" s="125">
        <v>2476604</v>
      </c>
      <c r="AB43" s="126"/>
      <c r="AC43" s="126"/>
      <c r="AD43" s="126"/>
      <c r="AE43" s="126"/>
      <c r="AF43" s="126"/>
    </row>
    <row r="44" spans="2:32" s="100" customFormat="1">
      <c r="B44" s="124" t="s">
        <v>170</v>
      </c>
      <c r="C44" s="125"/>
      <c r="D44" s="12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25"/>
      <c r="S44" s="125"/>
      <c r="T44" s="125"/>
      <c r="AB44" s="126"/>
      <c r="AC44" s="126"/>
      <c r="AD44" s="126"/>
      <c r="AE44" s="126"/>
      <c r="AF44" s="126"/>
    </row>
    <row r="45" spans="2:32" s="100" customFormat="1">
      <c r="B45" s="124" t="s">
        <v>171</v>
      </c>
      <c r="C45" s="125"/>
      <c r="D45" s="12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25"/>
      <c r="S45" s="125"/>
      <c r="T45" s="125"/>
      <c r="AB45" s="126"/>
      <c r="AC45" s="126"/>
      <c r="AD45" s="126"/>
      <c r="AE45" s="126"/>
      <c r="AF45" s="126"/>
    </row>
    <row r="46" spans="2:32" s="100" customFormat="1">
      <c r="B46" s="124" t="s">
        <v>172</v>
      </c>
      <c r="C46" s="125">
        <v>1700559</v>
      </c>
      <c r="D46" s="125">
        <v>0</v>
      </c>
      <c r="E46" s="135"/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>
        <v>0</v>
      </c>
      <c r="L46" s="135">
        <v>0</v>
      </c>
      <c r="M46" s="135">
        <v>0</v>
      </c>
      <c r="N46" s="135">
        <v>0</v>
      </c>
      <c r="O46" s="135">
        <v>0</v>
      </c>
      <c r="P46" s="135">
        <v>0</v>
      </c>
      <c r="Q46" s="135">
        <v>0</v>
      </c>
      <c r="R46" s="125">
        <v>0</v>
      </c>
      <c r="S46" s="125">
        <v>0</v>
      </c>
      <c r="T46" s="125">
        <v>0</v>
      </c>
      <c r="AB46" s="126"/>
      <c r="AC46" s="126"/>
      <c r="AD46" s="126"/>
      <c r="AE46" s="126"/>
      <c r="AF46" s="126"/>
    </row>
    <row r="47" spans="2:32" s="100" customFormat="1">
      <c r="B47" s="124" t="s">
        <v>173</v>
      </c>
      <c r="C47" s="125">
        <v>23584915</v>
      </c>
      <c r="D47" s="125">
        <v>31245312</v>
      </c>
      <c r="E47" s="135">
        <v>17406999</v>
      </c>
      <c r="F47" s="135">
        <v>18424406</v>
      </c>
      <c r="G47" s="135">
        <v>19442830</v>
      </c>
      <c r="H47" s="135">
        <v>16850890</v>
      </c>
      <c r="I47" s="135">
        <v>17867741</v>
      </c>
      <c r="J47" s="135">
        <v>18885609</v>
      </c>
      <c r="K47" s="135">
        <v>13681729</v>
      </c>
      <c r="L47" s="135">
        <v>13695411</v>
      </c>
      <c r="M47" s="135">
        <v>13709106</v>
      </c>
      <c r="N47" s="135">
        <v>13722815</v>
      </c>
      <c r="O47" s="135">
        <v>13736538</v>
      </c>
      <c r="P47" s="135">
        <v>13750275</v>
      </c>
      <c r="Q47" s="135">
        <v>13764025</v>
      </c>
      <c r="R47" s="125">
        <v>13901665</v>
      </c>
      <c r="S47" s="125">
        <v>14040682</v>
      </c>
      <c r="T47" s="125">
        <v>14181089</v>
      </c>
      <c r="AB47" s="126"/>
      <c r="AC47" s="126"/>
      <c r="AD47" s="126"/>
      <c r="AE47" s="126"/>
      <c r="AF47" s="126"/>
    </row>
    <row r="48" spans="2:32" s="100" customFormat="1">
      <c r="B48" s="124" t="s">
        <v>174</v>
      </c>
      <c r="C48" s="125"/>
      <c r="D48" s="125">
        <v>0</v>
      </c>
      <c r="E48" s="136">
        <v>0</v>
      </c>
      <c r="F48" s="137">
        <v>0</v>
      </c>
      <c r="G48" s="137"/>
      <c r="H48" s="137"/>
      <c r="I48" s="137"/>
      <c r="J48" s="137">
        <v>0</v>
      </c>
      <c r="K48" s="137">
        <v>0</v>
      </c>
      <c r="L48" s="137">
        <v>0</v>
      </c>
      <c r="M48" s="137">
        <v>0</v>
      </c>
      <c r="N48" s="137">
        <v>0</v>
      </c>
      <c r="O48" s="137">
        <v>0</v>
      </c>
      <c r="P48" s="137">
        <v>0</v>
      </c>
      <c r="Q48" s="136">
        <v>0</v>
      </c>
      <c r="R48" s="125"/>
      <c r="S48" s="125"/>
      <c r="T48" s="125"/>
      <c r="AB48" s="126"/>
      <c r="AC48" s="126"/>
      <c r="AD48" s="126"/>
      <c r="AE48" s="126"/>
      <c r="AF48" s="126"/>
    </row>
    <row r="49" spans="2:32" s="100" customFormat="1">
      <c r="B49" s="127" t="s">
        <v>175</v>
      </c>
      <c r="C49" s="128">
        <f t="shared" ref="C49:E49" si="11">SUM(C39:C48)</f>
        <v>101814401</v>
      </c>
      <c r="D49" s="128">
        <f t="shared" si="11"/>
        <v>79305630</v>
      </c>
      <c r="E49" s="128">
        <f t="shared" si="11"/>
        <v>66491619</v>
      </c>
      <c r="F49" s="128">
        <f t="shared" ref="F49:T49" si="12">SUM(F39:F48)</f>
        <v>67314683</v>
      </c>
      <c r="G49" s="128">
        <f t="shared" si="12"/>
        <v>68578188</v>
      </c>
      <c r="H49" s="128">
        <f t="shared" si="12"/>
        <v>64129254</v>
      </c>
      <c r="I49" s="128">
        <f t="shared" si="12"/>
        <v>80128702</v>
      </c>
      <c r="J49" s="128">
        <f t="shared" si="12"/>
        <v>96472778</v>
      </c>
      <c r="K49" s="128">
        <f t="shared" si="12"/>
        <v>93942603</v>
      </c>
      <c r="L49" s="128">
        <f t="shared" si="12"/>
        <v>103953318</v>
      </c>
      <c r="M49" s="128">
        <f t="shared" si="12"/>
        <v>114033911</v>
      </c>
      <c r="N49" s="128">
        <f t="shared" si="12"/>
        <v>123638321</v>
      </c>
      <c r="O49" s="128">
        <f t="shared" si="12"/>
        <v>130812112</v>
      </c>
      <c r="P49" s="128">
        <f t="shared" si="12"/>
        <v>135605326</v>
      </c>
      <c r="Q49" s="128">
        <f t="shared" si="12"/>
        <v>137049930</v>
      </c>
      <c r="R49" s="128">
        <f t="shared" si="12"/>
        <v>54981940</v>
      </c>
      <c r="S49" s="128">
        <f t="shared" si="12"/>
        <v>55842728</v>
      </c>
      <c r="T49" s="128">
        <f t="shared" si="12"/>
        <v>52633180</v>
      </c>
      <c r="AB49" s="126"/>
      <c r="AC49" s="126"/>
      <c r="AD49" s="126"/>
      <c r="AE49" s="126"/>
      <c r="AF49" s="126"/>
    </row>
    <row r="50" spans="2:32" s="100" customFormat="1">
      <c r="B50" s="122" t="s">
        <v>176</v>
      </c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AB50" s="126"/>
      <c r="AC50" s="126"/>
      <c r="AD50" s="126"/>
      <c r="AE50" s="126"/>
      <c r="AF50" s="126"/>
    </row>
    <row r="51" spans="2:32" s="100" customFormat="1">
      <c r="B51" s="124" t="s">
        <v>166</v>
      </c>
      <c r="C51" s="125"/>
      <c r="D51" s="125"/>
      <c r="E51" s="125">
        <v>0</v>
      </c>
      <c r="F51" s="125">
        <v>0</v>
      </c>
      <c r="G51" s="125">
        <v>0</v>
      </c>
      <c r="H51" s="125">
        <v>0</v>
      </c>
      <c r="I51" s="125">
        <v>0</v>
      </c>
      <c r="J51" s="125">
        <v>0</v>
      </c>
      <c r="K51" s="125">
        <v>0</v>
      </c>
      <c r="L51" s="125">
        <v>0</v>
      </c>
      <c r="M51" s="125">
        <v>0</v>
      </c>
      <c r="N51" s="125">
        <v>0</v>
      </c>
      <c r="O51" s="125">
        <v>0</v>
      </c>
      <c r="P51" s="125">
        <v>0</v>
      </c>
      <c r="Q51" s="125">
        <v>0</v>
      </c>
      <c r="R51" s="125"/>
      <c r="S51" s="125"/>
      <c r="T51" s="125"/>
      <c r="AB51" s="126"/>
      <c r="AC51" s="126"/>
      <c r="AD51" s="126"/>
      <c r="AE51" s="126"/>
      <c r="AF51" s="126"/>
    </row>
    <row r="52" spans="2:32" s="100" customFormat="1">
      <c r="B52" s="124" t="s">
        <v>177</v>
      </c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AB52" s="126"/>
      <c r="AC52" s="126"/>
      <c r="AD52" s="126"/>
      <c r="AE52" s="126"/>
      <c r="AF52" s="126"/>
    </row>
    <row r="53" spans="2:32" s="100" customFormat="1">
      <c r="B53" s="124" t="s">
        <v>168</v>
      </c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AB53" s="126"/>
      <c r="AC53" s="126"/>
      <c r="AD53" s="126"/>
      <c r="AE53" s="126"/>
      <c r="AF53" s="126"/>
    </row>
    <row r="54" spans="2:32" s="100" customFormat="1">
      <c r="B54" s="124" t="s">
        <v>169</v>
      </c>
      <c r="C54" s="125">
        <v>32135274</v>
      </c>
      <c r="D54" s="125">
        <v>60234127</v>
      </c>
      <c r="E54" s="125">
        <v>77942249</v>
      </c>
      <c r="F54" s="125">
        <v>77697099</v>
      </c>
      <c r="G54" s="125">
        <v>72033223</v>
      </c>
      <c r="H54" s="125">
        <v>66875752</v>
      </c>
      <c r="I54" s="125">
        <v>64768252</v>
      </c>
      <c r="J54" s="125">
        <v>62460752</v>
      </c>
      <c r="K54" s="125">
        <v>57559129</v>
      </c>
      <c r="L54" s="125">
        <v>55258091</v>
      </c>
      <c r="M54" s="125">
        <v>51389869</v>
      </c>
      <c r="N54" s="125">
        <v>47420722</v>
      </c>
      <c r="O54" s="125">
        <v>43193734</v>
      </c>
      <c r="P54" s="125">
        <v>31520921.5</v>
      </c>
      <c r="Q54" s="125">
        <v>30033898</v>
      </c>
      <c r="R54" s="125"/>
      <c r="S54" s="125"/>
      <c r="T54" s="125"/>
      <c r="AB54" s="126"/>
      <c r="AC54" s="126"/>
      <c r="AD54" s="126"/>
      <c r="AE54" s="126"/>
      <c r="AF54" s="126"/>
    </row>
    <row r="55" spans="2:32" s="100" customFormat="1" ht="13.5" customHeight="1">
      <c r="B55" s="124" t="s">
        <v>178</v>
      </c>
      <c r="C55" s="125">
        <v>25161982</v>
      </c>
      <c r="D55" s="125">
        <v>19017003</v>
      </c>
      <c r="E55" s="125"/>
      <c r="F55" s="125">
        <v>0</v>
      </c>
      <c r="G55" s="125">
        <v>0</v>
      </c>
      <c r="H55" s="125">
        <v>0</v>
      </c>
      <c r="I55" s="125">
        <v>0</v>
      </c>
      <c r="J55" s="125">
        <v>0</v>
      </c>
      <c r="K55" s="125">
        <v>0</v>
      </c>
      <c r="L55" s="125">
        <v>0</v>
      </c>
      <c r="M55" s="125">
        <v>0</v>
      </c>
      <c r="N55" s="125">
        <v>0</v>
      </c>
      <c r="O55" s="125">
        <v>0</v>
      </c>
      <c r="P55" s="125">
        <v>0</v>
      </c>
      <c r="Q55" s="125">
        <v>0</v>
      </c>
      <c r="R55" s="125"/>
      <c r="S55" s="125">
        <v>0</v>
      </c>
      <c r="T55" s="125">
        <v>0</v>
      </c>
      <c r="AB55" s="126"/>
      <c r="AC55" s="126"/>
      <c r="AD55" s="126"/>
      <c r="AE55" s="126"/>
      <c r="AF55" s="126"/>
    </row>
    <row r="56" spans="2:32" s="100" customFormat="1">
      <c r="B56" s="124" t="s">
        <v>170</v>
      </c>
      <c r="C56" s="125">
        <v>18088354</v>
      </c>
      <c r="D56" s="125">
        <v>19076534</v>
      </c>
      <c r="E56" s="125">
        <v>21498311</v>
      </c>
      <c r="F56" s="125">
        <v>21419809</v>
      </c>
      <c r="G56" s="125">
        <v>21341229</v>
      </c>
      <c r="H56" s="125">
        <v>21262570</v>
      </c>
      <c r="I56" s="125">
        <v>21183833</v>
      </c>
      <c r="J56" s="125">
        <v>21105017</v>
      </c>
      <c r="K56" s="125">
        <v>22026122</v>
      </c>
      <c r="L56" s="125">
        <v>21948148</v>
      </c>
      <c r="M56" s="125">
        <v>21870096</v>
      </c>
      <c r="N56" s="125">
        <v>21791966</v>
      </c>
      <c r="O56" s="125">
        <v>21713758</v>
      </c>
      <c r="P56" s="125">
        <v>21635472</v>
      </c>
      <c r="Q56" s="125">
        <v>23057107</v>
      </c>
      <c r="R56" s="125">
        <v>24751396</v>
      </c>
      <c r="S56" s="125">
        <v>26276256</v>
      </c>
      <c r="T56" s="125">
        <v>27648630</v>
      </c>
      <c r="AB56" s="126"/>
      <c r="AC56" s="126"/>
      <c r="AD56" s="126"/>
      <c r="AE56" s="126"/>
      <c r="AF56" s="126"/>
    </row>
    <row r="57" spans="2:32" s="100" customFormat="1">
      <c r="B57" s="124" t="s">
        <v>173</v>
      </c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AB57" s="126"/>
      <c r="AC57" s="126"/>
      <c r="AD57" s="126"/>
      <c r="AE57" s="126"/>
      <c r="AF57" s="126"/>
    </row>
    <row r="58" spans="2:32" s="100" customFormat="1">
      <c r="B58" s="124" t="s">
        <v>174</v>
      </c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AB58" s="126"/>
      <c r="AC58" s="126"/>
      <c r="AD58" s="126"/>
      <c r="AE58" s="126"/>
      <c r="AF58" s="126"/>
    </row>
    <row r="59" spans="2:32" s="100" customFormat="1">
      <c r="B59" s="124" t="s">
        <v>179</v>
      </c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AB59" s="126"/>
      <c r="AC59" s="126"/>
      <c r="AD59" s="126"/>
      <c r="AE59" s="126"/>
      <c r="AF59" s="126"/>
    </row>
    <row r="60" spans="2:32" s="100" customFormat="1">
      <c r="B60" s="127" t="s">
        <v>180</v>
      </c>
      <c r="C60" s="128">
        <f t="shared" ref="C60:T60" si="13">SUM(C51:C59)</f>
        <v>75385610</v>
      </c>
      <c r="D60" s="128">
        <f t="shared" si="13"/>
        <v>98327664</v>
      </c>
      <c r="E60" s="128">
        <f t="shared" si="13"/>
        <v>99440560</v>
      </c>
      <c r="F60" s="128">
        <f t="shared" si="13"/>
        <v>99116908</v>
      </c>
      <c r="G60" s="128">
        <f t="shared" si="13"/>
        <v>93374452</v>
      </c>
      <c r="H60" s="128">
        <f t="shared" si="13"/>
        <v>88138322</v>
      </c>
      <c r="I60" s="128">
        <f t="shared" si="13"/>
        <v>85952085</v>
      </c>
      <c r="J60" s="128">
        <f t="shared" si="13"/>
        <v>83565769</v>
      </c>
      <c r="K60" s="128">
        <f t="shared" si="13"/>
        <v>79585251</v>
      </c>
      <c r="L60" s="128">
        <f t="shared" si="13"/>
        <v>77206239</v>
      </c>
      <c r="M60" s="128">
        <f t="shared" si="13"/>
        <v>73259965</v>
      </c>
      <c r="N60" s="128">
        <f t="shared" si="13"/>
        <v>69212688</v>
      </c>
      <c r="O60" s="128">
        <f t="shared" si="13"/>
        <v>64907492</v>
      </c>
      <c r="P60" s="128">
        <f t="shared" si="13"/>
        <v>53156393.5</v>
      </c>
      <c r="Q60" s="128">
        <f t="shared" si="13"/>
        <v>53091005</v>
      </c>
      <c r="R60" s="128">
        <f t="shared" si="13"/>
        <v>24751396</v>
      </c>
      <c r="S60" s="128">
        <f t="shared" si="13"/>
        <v>26276256</v>
      </c>
      <c r="T60" s="128">
        <f t="shared" si="13"/>
        <v>27648630</v>
      </c>
      <c r="AB60" s="126"/>
      <c r="AC60" s="126"/>
      <c r="AD60" s="126"/>
      <c r="AE60" s="126"/>
      <c r="AF60" s="126"/>
    </row>
    <row r="61" spans="2:32" s="100" customFormat="1">
      <c r="B61" s="131" t="s">
        <v>181</v>
      </c>
      <c r="C61" s="132">
        <f t="shared" ref="C61:T61" si="14">+C60+C49</f>
        <v>177200011</v>
      </c>
      <c r="D61" s="132">
        <f t="shared" si="14"/>
        <v>177633294</v>
      </c>
      <c r="E61" s="132">
        <f t="shared" si="14"/>
        <v>165932179</v>
      </c>
      <c r="F61" s="132">
        <f t="shared" si="14"/>
        <v>166431591</v>
      </c>
      <c r="G61" s="132">
        <f t="shared" si="14"/>
        <v>161952640</v>
      </c>
      <c r="H61" s="132">
        <f t="shared" si="14"/>
        <v>152267576</v>
      </c>
      <c r="I61" s="132">
        <f t="shared" si="14"/>
        <v>166080787</v>
      </c>
      <c r="J61" s="132">
        <f t="shared" si="14"/>
        <v>180038547</v>
      </c>
      <c r="K61" s="132">
        <f t="shared" si="14"/>
        <v>173527854</v>
      </c>
      <c r="L61" s="132">
        <f t="shared" si="14"/>
        <v>181159557</v>
      </c>
      <c r="M61" s="132">
        <f t="shared" si="14"/>
        <v>187293876</v>
      </c>
      <c r="N61" s="132">
        <f t="shared" si="14"/>
        <v>192851009</v>
      </c>
      <c r="O61" s="132">
        <f t="shared" si="14"/>
        <v>195719604</v>
      </c>
      <c r="P61" s="132">
        <f t="shared" si="14"/>
        <v>188761719.5</v>
      </c>
      <c r="Q61" s="132">
        <f t="shared" si="14"/>
        <v>190140935</v>
      </c>
      <c r="R61" s="132">
        <f t="shared" si="14"/>
        <v>79733336</v>
      </c>
      <c r="S61" s="132">
        <f t="shared" si="14"/>
        <v>82118984</v>
      </c>
      <c r="T61" s="132">
        <f t="shared" si="14"/>
        <v>80281810</v>
      </c>
      <c r="AB61" s="126"/>
      <c r="AC61" s="126"/>
      <c r="AD61" s="126"/>
      <c r="AE61" s="126"/>
      <c r="AF61" s="126"/>
    </row>
    <row r="62" spans="2:32" s="100" customFormat="1">
      <c r="B62" s="122" t="s">
        <v>182</v>
      </c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AB62" s="126"/>
      <c r="AC62" s="126"/>
      <c r="AD62" s="126"/>
      <c r="AE62" s="126"/>
      <c r="AF62" s="126"/>
    </row>
    <row r="63" spans="2:32" s="100" customFormat="1">
      <c r="B63" s="124" t="s">
        <v>183</v>
      </c>
      <c r="C63" s="125">
        <v>317290321</v>
      </c>
      <c r="D63" s="125">
        <v>317290321</v>
      </c>
      <c r="E63" s="125">
        <v>317290321</v>
      </c>
      <c r="F63" s="125">
        <v>317290321</v>
      </c>
      <c r="G63" s="125">
        <v>317290321</v>
      </c>
      <c r="H63" s="125">
        <v>317290321</v>
      </c>
      <c r="I63" s="125">
        <v>317290321</v>
      </c>
      <c r="J63" s="125">
        <v>317290321</v>
      </c>
      <c r="K63" s="125">
        <v>317290321</v>
      </c>
      <c r="L63" s="125">
        <v>317290321</v>
      </c>
      <c r="M63" s="125">
        <v>317290321</v>
      </c>
      <c r="N63" s="125">
        <v>317290321</v>
      </c>
      <c r="O63" s="125">
        <v>317290321</v>
      </c>
      <c r="P63" s="125">
        <v>317290321</v>
      </c>
      <c r="Q63" s="125">
        <v>317290321</v>
      </c>
      <c r="R63" s="125">
        <v>317290321</v>
      </c>
      <c r="S63" s="125">
        <v>542290321</v>
      </c>
      <c r="T63" s="125">
        <v>612290321</v>
      </c>
      <c r="AB63" s="126"/>
      <c r="AC63" s="126"/>
      <c r="AD63" s="126"/>
      <c r="AE63" s="126"/>
      <c r="AF63" s="126"/>
    </row>
    <row r="64" spans="2:32" s="100" customFormat="1">
      <c r="B64" s="124" t="s">
        <v>184</v>
      </c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AB64" s="126"/>
      <c r="AC64" s="126"/>
      <c r="AD64" s="126"/>
      <c r="AE64" s="126"/>
      <c r="AF64" s="126"/>
    </row>
    <row r="65" spans="1:32">
      <c r="A65" s="100"/>
      <c r="B65" s="124" t="s">
        <v>185</v>
      </c>
      <c r="C65" s="125">
        <v>196307656</v>
      </c>
      <c r="D65" s="125">
        <v>299978713</v>
      </c>
      <c r="E65" s="125">
        <v>314928870</v>
      </c>
      <c r="F65" s="125">
        <v>315174020</v>
      </c>
      <c r="G65" s="125">
        <v>320837896</v>
      </c>
      <c r="H65" s="125">
        <v>325543309</v>
      </c>
      <c r="I65" s="125">
        <v>327650809</v>
      </c>
      <c r="J65" s="125">
        <v>329958309</v>
      </c>
      <c r="K65" s="125">
        <v>330877886</v>
      </c>
      <c r="L65" s="125">
        <v>333178924</v>
      </c>
      <c r="M65" s="125">
        <v>337047146</v>
      </c>
      <c r="N65" s="125">
        <v>338005138</v>
      </c>
      <c r="O65" s="125">
        <v>342232126</v>
      </c>
      <c r="P65" s="125">
        <v>353904938.5</v>
      </c>
      <c r="Q65" s="125">
        <v>355367208</v>
      </c>
      <c r="R65" s="125">
        <v>610401106</v>
      </c>
      <c r="S65" s="125">
        <v>455401106</v>
      </c>
      <c r="T65" s="125">
        <v>415401106</v>
      </c>
      <c r="AB65" s="126"/>
      <c r="AC65" s="126"/>
      <c r="AD65" s="126"/>
      <c r="AE65" s="126"/>
      <c r="AF65" s="126"/>
    </row>
    <row r="66" spans="1:32">
      <c r="A66" s="100"/>
      <c r="B66" s="124" t="s">
        <v>186</v>
      </c>
      <c r="C66" s="125"/>
      <c r="D66" s="125"/>
      <c r="E66" s="125">
        <v>0</v>
      </c>
      <c r="F66" s="125">
        <v>0</v>
      </c>
      <c r="G66" s="125">
        <v>0</v>
      </c>
      <c r="H66" s="125">
        <v>0</v>
      </c>
      <c r="I66" s="125">
        <v>0</v>
      </c>
      <c r="J66" s="125">
        <v>0</v>
      </c>
      <c r="K66" s="125">
        <v>0</v>
      </c>
      <c r="L66" s="125">
        <v>0</v>
      </c>
      <c r="M66" s="125">
        <v>0</v>
      </c>
      <c r="N66" s="125">
        <v>0</v>
      </c>
      <c r="O66" s="125">
        <v>0</v>
      </c>
      <c r="P66" s="125">
        <v>0</v>
      </c>
      <c r="Q66" s="125">
        <v>0</v>
      </c>
      <c r="R66" s="125">
        <v>0</v>
      </c>
      <c r="S66" s="125">
        <v>0</v>
      </c>
      <c r="T66" s="125">
        <v>0</v>
      </c>
      <c r="AB66" s="126"/>
      <c r="AC66" s="126"/>
      <c r="AD66" s="126"/>
      <c r="AE66" s="126"/>
      <c r="AF66" s="126"/>
    </row>
    <row r="67" spans="1:32">
      <c r="A67" s="100"/>
      <c r="B67" s="124" t="s">
        <v>187</v>
      </c>
      <c r="C67" s="125">
        <v>24707559</v>
      </c>
      <c r="D67" s="125">
        <v>31238640</v>
      </c>
      <c r="E67" s="125">
        <v>37021828</v>
      </c>
      <c r="F67" s="125">
        <v>37021828</v>
      </c>
      <c r="G67" s="125">
        <v>37021828</v>
      </c>
      <c r="H67" s="125">
        <v>37021828</v>
      </c>
      <c r="I67" s="125">
        <v>37021828</v>
      </c>
      <c r="J67" s="125">
        <v>37021828</v>
      </c>
      <c r="K67" s="125">
        <v>37021828</v>
      </c>
      <c r="L67" s="125">
        <v>37021828</v>
      </c>
      <c r="M67" s="125">
        <v>37021828</v>
      </c>
      <c r="N67" s="125">
        <v>37021828</v>
      </c>
      <c r="O67" s="125">
        <v>37021828</v>
      </c>
      <c r="P67" s="125">
        <v>37021828</v>
      </c>
      <c r="Q67" s="125">
        <v>37021828</v>
      </c>
      <c r="R67" s="125">
        <v>37021828</v>
      </c>
      <c r="S67" s="125">
        <v>37021828</v>
      </c>
      <c r="T67" s="125">
        <v>37021828</v>
      </c>
      <c r="AB67" s="126"/>
      <c r="AC67" s="126"/>
      <c r="AD67" s="126"/>
      <c r="AE67" s="126"/>
      <c r="AF67" s="126"/>
    </row>
    <row r="68" spans="1:32">
      <c r="A68" s="100"/>
      <c r="B68" s="124" t="s">
        <v>188</v>
      </c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AB68" s="126"/>
      <c r="AC68" s="126"/>
      <c r="AD68" s="126"/>
      <c r="AE68" s="126"/>
      <c r="AF68" s="126"/>
    </row>
    <row r="69" spans="1:32">
      <c r="A69" s="100"/>
      <c r="B69" s="124" t="s">
        <v>189</v>
      </c>
      <c r="C69" s="125">
        <v>318458200</v>
      </c>
      <c r="D69" s="125">
        <v>268700120</v>
      </c>
      <c r="E69" s="125">
        <v>120183861</v>
      </c>
      <c r="F69" s="125">
        <v>110921186</v>
      </c>
      <c r="G69" s="125">
        <v>97042005</v>
      </c>
      <c r="H69" s="125">
        <v>88639978</v>
      </c>
      <c r="I69" s="125">
        <v>81532326</v>
      </c>
      <c r="J69" s="125">
        <v>74357351</v>
      </c>
      <c r="K69" s="125">
        <v>67094232</v>
      </c>
      <c r="L69" s="125">
        <v>61997865</v>
      </c>
      <c r="M69" s="125">
        <v>57167112</v>
      </c>
      <c r="N69" s="125">
        <v>53989424</v>
      </c>
      <c r="O69" s="125">
        <v>50899659</v>
      </c>
      <c r="P69" s="125">
        <v>48201051</v>
      </c>
      <c r="Q69" s="125">
        <v>43191825</v>
      </c>
      <c r="R69" s="125">
        <v>2527783</v>
      </c>
      <c r="S69" s="125">
        <v>-18775570</v>
      </c>
      <c r="T69" s="125">
        <v>-12408690</v>
      </c>
      <c r="AB69" s="126"/>
      <c r="AC69" s="126"/>
      <c r="AD69" s="126"/>
      <c r="AE69" s="126"/>
      <c r="AF69" s="126"/>
    </row>
    <row r="70" spans="1:32">
      <c r="A70" s="100"/>
      <c r="B70" s="124" t="s">
        <v>190</v>
      </c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AB70" s="126"/>
      <c r="AC70" s="126"/>
      <c r="AD70" s="126"/>
      <c r="AE70" s="126"/>
      <c r="AF70" s="126"/>
    </row>
    <row r="71" spans="1:32">
      <c r="A71" s="100"/>
      <c r="B71" s="127" t="s">
        <v>191</v>
      </c>
      <c r="C71" s="128">
        <f t="shared" ref="C71:T71" si="15">SUM(C63:C70)</f>
        <v>856763736</v>
      </c>
      <c r="D71" s="128">
        <f t="shared" si="15"/>
        <v>917207794</v>
      </c>
      <c r="E71" s="128">
        <f t="shared" si="15"/>
        <v>789424880</v>
      </c>
      <c r="F71" s="128">
        <f t="shared" si="15"/>
        <v>780407355</v>
      </c>
      <c r="G71" s="128">
        <f t="shared" si="15"/>
        <v>772192050</v>
      </c>
      <c r="H71" s="128">
        <f t="shared" si="15"/>
        <v>768495436</v>
      </c>
      <c r="I71" s="128">
        <f t="shared" si="15"/>
        <v>763495284</v>
      </c>
      <c r="J71" s="128">
        <f t="shared" si="15"/>
        <v>758627809</v>
      </c>
      <c r="K71" s="128">
        <f t="shared" si="15"/>
        <v>752284267</v>
      </c>
      <c r="L71" s="128">
        <f t="shared" si="15"/>
        <v>749488938</v>
      </c>
      <c r="M71" s="128">
        <f t="shared" si="15"/>
        <v>748526407</v>
      </c>
      <c r="N71" s="128">
        <f t="shared" si="15"/>
        <v>746306711</v>
      </c>
      <c r="O71" s="128">
        <f t="shared" si="15"/>
        <v>747443934</v>
      </c>
      <c r="P71" s="128">
        <f t="shared" si="15"/>
        <v>756418138.5</v>
      </c>
      <c r="Q71" s="128">
        <f t="shared" si="15"/>
        <v>752871182</v>
      </c>
      <c r="R71" s="128">
        <f t="shared" si="15"/>
        <v>967241038</v>
      </c>
      <c r="S71" s="128">
        <f t="shared" si="15"/>
        <v>1015937685</v>
      </c>
      <c r="T71" s="128">
        <f t="shared" si="15"/>
        <v>1052304565</v>
      </c>
      <c r="AB71" s="126"/>
      <c r="AC71" s="126"/>
      <c r="AD71" s="126"/>
      <c r="AE71" s="126"/>
      <c r="AF71" s="126"/>
    </row>
    <row r="72" spans="1:32">
      <c r="A72" s="100"/>
      <c r="B72" s="131" t="s">
        <v>192</v>
      </c>
      <c r="C72" s="132">
        <f t="shared" ref="C72:T72" si="16">+C71+C61</f>
        <v>1033963747</v>
      </c>
      <c r="D72" s="132">
        <f t="shared" si="16"/>
        <v>1094841088</v>
      </c>
      <c r="E72" s="132">
        <f t="shared" si="16"/>
        <v>955357059</v>
      </c>
      <c r="F72" s="132">
        <f t="shared" si="16"/>
        <v>946838946</v>
      </c>
      <c r="G72" s="132">
        <f t="shared" si="16"/>
        <v>934144690</v>
      </c>
      <c r="H72" s="132">
        <f t="shared" si="16"/>
        <v>920763012</v>
      </c>
      <c r="I72" s="132">
        <f t="shared" si="16"/>
        <v>929576071</v>
      </c>
      <c r="J72" s="132">
        <f t="shared" si="16"/>
        <v>938666356</v>
      </c>
      <c r="K72" s="132">
        <f t="shared" si="16"/>
        <v>925812121</v>
      </c>
      <c r="L72" s="132">
        <f t="shared" si="16"/>
        <v>930648495</v>
      </c>
      <c r="M72" s="132">
        <f t="shared" si="16"/>
        <v>935820283</v>
      </c>
      <c r="N72" s="132">
        <f t="shared" si="16"/>
        <v>939157720</v>
      </c>
      <c r="O72" s="132">
        <f t="shared" si="16"/>
        <v>943163538</v>
      </c>
      <c r="P72" s="132">
        <f t="shared" si="16"/>
        <v>945179858</v>
      </c>
      <c r="Q72" s="132">
        <f t="shared" si="16"/>
        <v>943012117</v>
      </c>
      <c r="R72" s="132">
        <f t="shared" si="16"/>
        <v>1046974374</v>
      </c>
      <c r="S72" s="132">
        <f t="shared" si="16"/>
        <v>1098056669</v>
      </c>
      <c r="T72" s="132">
        <f t="shared" si="16"/>
        <v>1132586375</v>
      </c>
      <c r="AB72" s="126"/>
      <c r="AC72" s="126"/>
      <c r="AD72" s="126"/>
      <c r="AE72" s="126"/>
      <c r="AF72" s="126"/>
    </row>
    <row r="73" spans="1:32">
      <c r="A73" s="100"/>
      <c r="B73" s="138" t="s">
        <v>162</v>
      </c>
      <c r="C73" s="134">
        <v>144875328</v>
      </c>
      <c r="D73" s="134">
        <v>144875328</v>
      </c>
      <c r="E73" s="134">
        <v>194928741</v>
      </c>
      <c r="F73" s="134">
        <v>194928741</v>
      </c>
      <c r="G73" s="134">
        <v>194928741</v>
      </c>
      <c r="H73" s="134">
        <v>194928741</v>
      </c>
      <c r="I73" s="134">
        <v>194928741</v>
      </c>
      <c r="J73" s="134">
        <v>194928741</v>
      </c>
      <c r="K73" s="134">
        <v>194928741</v>
      </c>
      <c r="L73" s="134">
        <v>194928741</v>
      </c>
      <c r="M73" s="134">
        <v>194928741</v>
      </c>
      <c r="N73" s="134">
        <v>194928741</v>
      </c>
      <c r="O73" s="134">
        <v>194928741</v>
      </c>
      <c r="P73" s="134">
        <v>194928741</v>
      </c>
      <c r="Q73" s="134">
        <v>194928741</v>
      </c>
      <c r="R73" s="134">
        <v>196878028</v>
      </c>
      <c r="S73" s="134">
        <v>198846808</v>
      </c>
      <c r="T73" s="134">
        <v>200835276</v>
      </c>
      <c r="AB73" s="126"/>
      <c r="AC73" s="126"/>
      <c r="AD73" s="126"/>
      <c r="AE73" s="126"/>
      <c r="AF73" s="126"/>
    </row>
    <row r="74" spans="1:32">
      <c r="F74" s="126"/>
      <c r="K74" s="126"/>
    </row>
    <row r="75" spans="1:32">
      <c r="A75" s="100"/>
      <c r="C75" s="139">
        <f t="shared" ref="C75:E75" si="17">+C35-C72</f>
        <v>-0.12000000476837158</v>
      </c>
      <c r="D75" s="139">
        <f t="shared" si="17"/>
        <v>0</v>
      </c>
      <c r="E75" s="139">
        <f t="shared" si="17"/>
        <v>0</v>
      </c>
      <c r="F75" s="139">
        <f>+F35-F72</f>
        <v>0</v>
      </c>
      <c r="G75" s="139">
        <f t="shared" ref="G75:T75" si="18">+G35-G72</f>
        <v>0</v>
      </c>
      <c r="H75" s="139">
        <f t="shared" si="18"/>
        <v>0</v>
      </c>
      <c r="I75" s="139">
        <f t="shared" si="18"/>
        <v>0</v>
      </c>
      <c r="J75" s="139">
        <f t="shared" si="18"/>
        <v>0</v>
      </c>
      <c r="K75" s="139">
        <f t="shared" si="18"/>
        <v>0</v>
      </c>
      <c r="L75" s="139">
        <f t="shared" si="18"/>
        <v>0</v>
      </c>
      <c r="M75" s="139">
        <f t="shared" si="18"/>
        <v>0</v>
      </c>
      <c r="N75" s="139">
        <f t="shared" si="18"/>
        <v>0</v>
      </c>
      <c r="O75" s="139">
        <f t="shared" si="18"/>
        <v>0</v>
      </c>
      <c r="P75" s="139">
        <f t="shared" si="18"/>
        <v>0</v>
      </c>
      <c r="Q75" s="139">
        <f t="shared" si="18"/>
        <v>0</v>
      </c>
      <c r="R75" s="139">
        <f>+R35-R72</f>
        <v>0</v>
      </c>
      <c r="S75" s="139">
        <f t="shared" si="18"/>
        <v>0</v>
      </c>
      <c r="T75" s="139">
        <f t="shared" si="18"/>
        <v>0</v>
      </c>
    </row>
    <row r="76" spans="1:32">
      <c r="C76" s="139"/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</row>
    <row r="77" spans="1:32">
      <c r="A77" s="100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</row>
    <row r="78" spans="1:32">
      <c r="E78" s="126"/>
      <c r="Q78" s="126"/>
      <c r="R78" s="126"/>
      <c r="S78" s="126"/>
      <c r="T78" s="126"/>
    </row>
    <row r="79" spans="1:32">
      <c r="E79" s="126"/>
      <c r="Q79" s="126"/>
      <c r="R79" s="126"/>
      <c r="S79" s="126"/>
      <c r="T79" s="126"/>
    </row>
    <row r="80" spans="1:32">
      <c r="E80" s="126"/>
      <c r="Q80" s="126"/>
      <c r="R80" s="126"/>
      <c r="S80" s="126"/>
      <c r="T80" s="126"/>
    </row>
    <row r="83" spans="5:20">
      <c r="E83" s="126"/>
      <c r="Q83" s="126"/>
      <c r="R83" s="126"/>
      <c r="S83" s="126"/>
      <c r="T83" s="126"/>
    </row>
    <row r="84" spans="5:20">
      <c r="E84" s="126"/>
      <c r="Q84" s="126"/>
      <c r="R84" s="126"/>
      <c r="S84" s="126"/>
      <c r="T84" s="126"/>
    </row>
  </sheetData>
  <mergeCells count="1">
    <mergeCell ref="F7:Q7"/>
  </mergeCells>
  <pageMargins left="0.70866141732283472" right="0.70866141732283472" top="0.74803149606299213" bottom="0.74803149606299213" header="0.31496062992125984" footer="0.31496062992125984"/>
  <pageSetup paperSize="9" scale="71" fitToWidth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304F6-DB88-4EF5-8296-1578E000D31D}">
  <sheetPr>
    <tabColor rgb="FFFFFFFF"/>
  </sheetPr>
  <dimension ref="A1:U21"/>
  <sheetViews>
    <sheetView zoomScaleNormal="100" workbookViewId="0">
      <selection activeCell="J10" sqref="J10"/>
    </sheetView>
  </sheetViews>
  <sheetFormatPr baseColWidth="10" defaultRowHeight="15"/>
  <cols>
    <col min="1" max="1" width="8" style="8" customWidth="1"/>
    <col min="2" max="2" width="12" style="1" customWidth="1"/>
    <col min="3" max="4" width="4.7109375" style="1" customWidth="1"/>
    <col min="5" max="5" width="6.28515625" style="5" customWidth="1"/>
    <col min="6" max="6" width="35.7109375" style="5" customWidth="1"/>
    <col min="7" max="7" width="23.7109375" style="5" bestFit="1" customWidth="1"/>
    <col min="8" max="8" width="18.140625" style="5" bestFit="1" customWidth="1"/>
    <col min="9" max="9" width="18.140625" style="1" bestFit="1" customWidth="1"/>
    <col min="10" max="11" width="12.28515625" style="1" bestFit="1" customWidth="1"/>
    <col min="12" max="12" width="13.7109375" style="1" bestFit="1" customWidth="1"/>
    <col min="13" max="13" width="9.42578125" style="1" bestFit="1" customWidth="1"/>
    <col min="14" max="14" width="2.85546875" style="1" customWidth="1"/>
    <col min="15" max="16" width="12" style="1" customWidth="1"/>
    <col min="17" max="17" width="17.85546875" style="1" customWidth="1"/>
    <col min="18" max="18" width="11.42578125" style="1"/>
    <col min="19" max="19" width="15.42578125" style="1" bestFit="1" customWidth="1"/>
    <col min="20" max="21" width="14.42578125" style="1" bestFit="1" customWidth="1"/>
    <col min="22" max="16384" width="11.42578125" style="1"/>
  </cols>
  <sheetData>
    <row r="1" spans="1:21" ht="11.25" customHeight="1">
      <c r="A1" s="33" t="s">
        <v>13</v>
      </c>
    </row>
    <row r="2" spans="1:21" ht="9" customHeight="1"/>
    <row r="3" spans="1:21" ht="8.25" customHeight="1"/>
    <row r="4" spans="1:21">
      <c r="E4" s="6" t="s">
        <v>103</v>
      </c>
      <c r="F4" s="6"/>
      <c r="G4" s="6"/>
      <c r="H4" s="6"/>
    </row>
    <row r="5" spans="1:21">
      <c r="E5" s="6"/>
      <c r="F5" s="6"/>
      <c r="G5" s="6"/>
      <c r="H5" s="6"/>
    </row>
    <row r="6" spans="1:21">
      <c r="E6" s="6"/>
    </row>
    <row r="7" spans="1:21">
      <c r="E7" s="6"/>
      <c r="F7" s="94" t="s">
        <v>96</v>
      </c>
      <c r="G7" s="94" t="s">
        <v>200</v>
      </c>
      <c r="H7" s="94" t="s">
        <v>101</v>
      </c>
      <c r="I7" s="94" t="s">
        <v>102</v>
      </c>
      <c r="J7" s="94" t="s">
        <v>201</v>
      </c>
      <c r="K7" s="94" t="s">
        <v>202</v>
      </c>
      <c r="L7" s="94" t="s">
        <v>205</v>
      </c>
      <c r="M7" s="94" t="s">
        <v>206</v>
      </c>
      <c r="N7" s="94"/>
      <c r="O7" s="94" t="s">
        <v>203</v>
      </c>
      <c r="P7" s="94" t="s">
        <v>204</v>
      </c>
      <c r="R7" s="9"/>
      <c r="S7" s="9"/>
      <c r="T7" s="9"/>
    </row>
    <row r="8" spans="1:21">
      <c r="E8" s="6"/>
      <c r="F8" s="141" t="s">
        <v>100</v>
      </c>
      <c r="G8" s="142">
        <v>61622084</v>
      </c>
      <c r="H8" s="142">
        <v>93206138.840000004</v>
      </c>
      <c r="I8" s="142">
        <v>780096074.91999996</v>
      </c>
      <c r="J8" s="142">
        <f t="shared" ref="J8:J9" si="0">(H8)/I8</f>
        <v>0.11948033304687303</v>
      </c>
      <c r="K8" s="142">
        <f>(G8+H8)/I8</f>
        <v>0.19847327504612541</v>
      </c>
      <c r="L8" s="142">
        <f t="shared" ref="L8:L10" si="1">J8/(1+J8)</f>
        <v>0.10672838952131046</v>
      </c>
      <c r="M8" s="142">
        <f t="shared" ref="M8:M10" si="2">1/(1+J8)</f>
        <v>0.89327161047868953</v>
      </c>
      <c r="N8" s="142"/>
      <c r="O8" s="142">
        <f>K8/(1+K8)</f>
        <v>0.16560509039176266</v>
      </c>
      <c r="P8" s="142">
        <f>1/(1+K8)</f>
        <v>0.83439490960823737</v>
      </c>
    </row>
    <row r="9" spans="1:21">
      <c r="E9" s="6"/>
      <c r="F9" s="143" t="s">
        <v>105</v>
      </c>
      <c r="G9" s="144">
        <f>G8+100000000</f>
        <v>161622084</v>
      </c>
      <c r="H9" s="144">
        <v>93206138.840000004</v>
      </c>
      <c r="I9" s="144">
        <f>I8+325000000</f>
        <v>1105096074.9200001</v>
      </c>
      <c r="J9" s="144">
        <f t="shared" si="0"/>
        <v>8.4342113735900628E-2</v>
      </c>
      <c r="K9" s="144">
        <f>(G9+H9)/I9</f>
        <v>0.23059372720914559</v>
      </c>
      <c r="L9" s="144">
        <f t="shared" si="1"/>
        <v>7.7781829800297478E-2</v>
      </c>
      <c r="M9" s="144">
        <f t="shared" si="2"/>
        <v>0.92221817019970254</v>
      </c>
      <c r="N9" s="144"/>
      <c r="O9" s="144">
        <f>K9/(1+K9)</f>
        <v>0.18738412370434179</v>
      </c>
      <c r="P9" s="144">
        <f>1/(1+K9)</f>
        <v>0.81261587629565812</v>
      </c>
    </row>
    <row r="10" spans="1:21">
      <c r="E10" s="6"/>
      <c r="F10" s="95" t="s">
        <v>106</v>
      </c>
      <c r="G10" s="145" t="s">
        <v>104</v>
      </c>
      <c r="H10" s="145" t="s">
        <v>104</v>
      </c>
      <c r="I10" s="145" t="s">
        <v>104</v>
      </c>
      <c r="J10" s="172">
        <f>'FuenteDE B. ESF Presup (P)'!AB14</f>
        <v>3.7061534520985158E-2</v>
      </c>
      <c r="K10" s="144">
        <f>'FuenteDE B. ESF Presup (P)'!AB13</f>
        <v>0.12302758448778006</v>
      </c>
      <c r="L10" s="144">
        <f t="shared" si="1"/>
        <v>3.573706408665879E-2</v>
      </c>
      <c r="M10" s="144">
        <f t="shared" si="2"/>
        <v>0.96426293591334111</v>
      </c>
      <c r="N10" s="96"/>
      <c r="O10" s="144">
        <f>K10/(1+K10)</f>
        <v>0.10954992218102437</v>
      </c>
      <c r="P10" s="144">
        <f>1/(1+K10)</f>
        <v>0.89045007781897578</v>
      </c>
    </row>
    <row r="11" spans="1:21">
      <c r="E11" s="6"/>
    </row>
    <row r="13" spans="1:21"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9:21"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9:21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9:21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9:21"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9:21"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</sheetData>
  <hyperlinks>
    <hyperlink ref="A1" location="Indice!A1" display="Índice" xr:uid="{31F08797-491F-4CB3-995B-983A59CEAE8C}"/>
    <hyperlink ref="F8" location="EstadoSituacionFinanciera!A1" display="ESF_02-2021" xr:uid="{E068FF81-23DD-4FAC-B677-61520F9081E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Indice</vt:lpstr>
      <vt:lpstr>SupuestoTipoDeCambioReal</vt:lpstr>
      <vt:lpstr>RiesgoPais</vt:lpstr>
      <vt:lpstr>FuenteRiesgoPais</vt:lpstr>
      <vt:lpstr>BetaBloombergENAV</vt:lpstr>
      <vt:lpstr>FuenteTasaLibreDeRiesgo</vt:lpstr>
      <vt:lpstr>TasaLibreDeRiesgo</vt:lpstr>
      <vt:lpstr>FuenteDE B. ESF Presup (P)</vt:lpstr>
      <vt:lpstr>DataEstructuraFinanciera</vt:lpstr>
      <vt:lpstr>FuenteReporteTasaActiva BCRP</vt:lpstr>
      <vt:lpstr>CostoDeDeuda</vt:lpstr>
      <vt:lpstr>FuenteRendimientoMercado</vt:lpstr>
      <vt:lpstr>RendimientoDelMercado</vt:lpstr>
      <vt:lpstr>FuenteRiesgoPais!Área_de_impresión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ARG</dc:creator>
  <cp:lastModifiedBy>ARG</cp:lastModifiedBy>
  <cp:lastPrinted>2021-06-22T20:38:26Z</cp:lastPrinted>
  <dcterms:created xsi:type="dcterms:W3CDTF">2021-02-09T20:22:16Z</dcterms:created>
  <dcterms:modified xsi:type="dcterms:W3CDTF">2021-08-03T17:19:24Z</dcterms:modified>
</cp:coreProperties>
</file>