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G\Abel\2021 Corpac\05 Productos\Aeroport\01 Pedido de info Ositran\"/>
    </mc:Choice>
  </mc:AlternateContent>
  <xr:revisionPtr revIDLastSave="0" documentId="13_ncr:1_{38BB56B8-9535-41C2-85FC-DFEA8EAC089D}" xr6:coauthVersionLast="46" xr6:coauthVersionMax="46" xr10:uidLastSave="{00000000-0000-0000-0000-000000000000}"/>
  <bookViews>
    <workbookView xWindow="-120" yWindow="-120" windowWidth="20730" windowHeight="11160" tabRatio="748" firstSheet="9" activeTab="12" xr2:uid="{262A5A95-66AC-4FCA-A83F-7C5C67C99DF3}"/>
  </bookViews>
  <sheets>
    <sheet name="SupuestoTipoDeCambioReal" sheetId="58" r:id="rId1"/>
    <sheet name="FuenteReporteTasaActiva BCRP" sheetId="57" r:id="rId2"/>
    <sheet name="EstadoSituacionFinanciera" sheetId="48" r:id="rId3"/>
    <sheet name="FuenteDE B. ESF Presup (P)" sheetId="52" r:id="rId4"/>
    <sheet name="CostoDeDeuda" sheetId="56" r:id="rId5"/>
    <sheet name="Fuente ERI Presup (P)" sheetId="54" r:id="rId6"/>
    <sheet name="EstructuraFinanciera" sheetId="53" r:id="rId7"/>
    <sheet name="TIRPrestamoACorto" sheetId="51" r:id="rId8"/>
    <sheet name="FuenteTasaLibreDeRiesgo" sheetId="35" r:id="rId9"/>
    <sheet name="TasaLibreDeRiesgo" sheetId="32" r:id="rId10"/>
    <sheet name="Returns by year" sheetId="39" r:id="rId11"/>
    <sheet name="FuenteRendimientoMercado" sheetId="38" r:id="rId12"/>
    <sheet name="RendimientoDelMercado" sheetId="37" r:id="rId13"/>
    <sheet name="FuenteRiesgoPais" sheetId="40" r:id="rId14"/>
    <sheet name="RiesgoPais" sheetId="41" r:id="rId15"/>
    <sheet name="Indice" sheetId="33" r:id="rId16"/>
    <sheet name="STEER" sheetId="42" r:id="rId17"/>
    <sheet name="swiss francia" sheetId="43" r:id="rId18"/>
    <sheet name="swiss irlanda" sheetId="46" r:id="rId19"/>
    <sheet name="aena hoy" sheetId="47" r:id="rId20"/>
    <sheet name="FuenteBetas" sheetId="45" r:id="rId21"/>
    <sheet name="Hoja3" sheetId="44" r:id="rId22"/>
  </sheets>
  <externalReferences>
    <externalReference r:id="rId23"/>
    <externalReference r:id="rId24"/>
    <externalReference r:id="rId25"/>
    <externalReference r:id="rId26"/>
  </externalReferences>
  <definedNames>
    <definedName name="__123Graph_A" hidden="1">#REF!</definedName>
    <definedName name="__123Graph_AGRAF" hidden="1">#REF!</definedName>
    <definedName name="__123Graph_B" localSheetId="5" hidden="1">#REF!</definedName>
    <definedName name="__123Graph_B" localSheetId="3" hidden="1">#REF!</definedName>
    <definedName name="__123Graph_B" hidden="1">#REF!</definedName>
    <definedName name="__123Graph_BGRAF" hidden="1">#REF!</definedName>
    <definedName name="__123Graph_C" hidden="1">#REF!</definedName>
    <definedName name="__123Graph_CGRAF" hidden="1">#REF!</definedName>
    <definedName name="__123Graph_D" hidden="1">#REF!</definedName>
    <definedName name="__123Graph_DGRAF" hidden="1">#REF!</definedName>
    <definedName name="__123Graph_E" hidden="1">#REF!</definedName>
    <definedName name="__123Graph_EGRAF" hidden="1">#REF!</definedName>
    <definedName name="__123Graph_F" hidden="1">#REF!</definedName>
    <definedName name="__123Graph_FGRAF" hidden="1">#REF!</definedName>
    <definedName name="__123Graph_X" hidden="1">#REF!</definedName>
    <definedName name="__123Graph_XGRAF" hidden="1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Key1" localSheetId="5" hidden="1">#REF!</definedName>
    <definedName name="_Key1" localSheetId="3" hidden="1">#REF!</definedName>
    <definedName name="_Key1" hidden="1">[1]INGUTI!$A$18:$A$30</definedName>
    <definedName name="_Order1" hidden="1">255</definedName>
    <definedName name="_Order2" hidden="1">255</definedName>
    <definedName name="_Sort" localSheetId="5" hidden="1">#REF!</definedName>
    <definedName name="_Sort" localSheetId="3" hidden="1">#REF!</definedName>
    <definedName name="_Sort" hidden="1">[1]INGUTI!$A$18:$M$30</definedName>
    <definedName name="ado" localSheetId="5" hidden="1">{"'transportes'!$A$3:$K$28"}</definedName>
    <definedName name="ado" hidden="1">{"'transportes'!$A$3:$K$28"}</definedName>
    <definedName name="aeropuertos">#REF!</definedName>
    <definedName name="AHORRO" localSheetId="5" hidden="1">{"'transportes'!$A$3:$K$28"}</definedName>
    <definedName name="AHORRO" hidden="1">{"'transportes'!$A$3:$K$28"}</definedName>
    <definedName name="_xlnm.Print_Area" localSheetId="13">FuenteRiesgoPais!$B$2:$N$72</definedName>
    <definedName name="BLPH1" localSheetId="5" hidden="1">#REF!</definedName>
    <definedName name="BLPH1" localSheetId="3" hidden="1">#REF!</definedName>
    <definedName name="BLPH1" hidden="1">#REF!</definedName>
    <definedName name="BLPH10" localSheetId="5" hidden="1">#REF!</definedName>
    <definedName name="BLPH10" localSheetId="3" hidden="1">#REF!</definedName>
    <definedName name="BLPH10" hidden="1">#REF!</definedName>
    <definedName name="BLPH11" localSheetId="5" hidden="1">#REF!</definedName>
    <definedName name="BLPH11" localSheetId="3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8" hidden="1">#REF!</definedName>
    <definedName name="BLPH9" hidden="1">#REF!</definedName>
    <definedName name="BLPI1" hidden="1">#REF!</definedName>
    <definedName name="BLPI2" hidden="1">#REF!</definedName>
    <definedName name="BLPI3" hidden="1">#REF!</definedName>
    <definedName name="BLPI4" hidden="1">#REF!</definedName>
    <definedName name="BLPI5" hidden="1">[2]Sheet2!#REF!</definedName>
    <definedName name="BLPI6" hidden="1">[2]Sheet2!#REF!</definedName>
    <definedName name="BLPI7" hidden="1">[3]Sheet2!$G$4</definedName>
    <definedName name="BLPI8" hidden="1">[3]Sheet2!$H$4</definedName>
    <definedName name="CBWorkbookPriority" hidden="1">-287022573</definedName>
    <definedName name="cc" localSheetId="5" hidden="1">{#N/A,"Norpal/Enciplan",FALSE,"RESUMO";#N/A,"LOT",FALSE,"RESUMO";#N/A,"Pessimista",FALSE,"RESUMO"}</definedName>
    <definedName name="cc" hidden="1">{#N/A,"Norpal/Enciplan",FALSE,"RESUMO";#N/A,"LOT",FALSE,"RESUMO";#N/A,"Pessimista",FALSE,"RESUMO"}</definedName>
    <definedName name="edff" hidden="1">#REF!</definedName>
    <definedName name="EMBIGPERU2014" hidden="1">#REF!</definedName>
    <definedName name="er" hidden="1">#REF!</definedName>
    <definedName name="Fee">[4]TUUA!$F$63</definedName>
    <definedName name="ff" localSheetId="5" hidden="1">{"'transportes'!$A$3:$K$28"}</definedName>
    <definedName name="ff" hidden="1">{"'transportes'!$A$3:$K$28"}</definedName>
    <definedName name="HTML_CodePage" hidden="1">1252</definedName>
    <definedName name="HTML_Control" localSheetId="5" hidden="1">{"'Sheet1'!$A$1:$O$40"}</definedName>
    <definedName name="HTML_Control" localSheetId="3" hidden="1">{"'Sheet1'!$A$1:$O$40"}</definedName>
    <definedName name="HTML_Control" localSheetId="11" hidden="1">{"'Sheet1'!$A$1:$G$85"}</definedName>
    <definedName name="HTML_Control" localSheetId="13" hidden="1">{"'C-46.WK1'!$A$6:$J$21"}</definedName>
    <definedName name="HTML_Control" localSheetId="1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localSheetId="13" hidden="1">""</definedName>
    <definedName name="HTML_Header" hidden="1">"Sheet1"</definedName>
    <definedName name="HTML_LastUpdate" localSheetId="5" hidden="1">"2/5/99"</definedName>
    <definedName name="HTML_LastUpdate" localSheetId="3" hidden="1">"2/5/99"</definedName>
    <definedName name="HTML_LastUpdate" localSheetId="13" hidden="1">""</definedName>
    <definedName name="HTML_LastUpdate" hidden="1">"2/24/99"</definedName>
    <definedName name="HTML_LineAfter" localSheetId="13" hidden="1">FALSE</definedName>
    <definedName name="HTML_LineAfter" hidden="1">TRUE</definedName>
    <definedName name="HTML_LineBefore" localSheetId="13" hidden="1">FALSE</definedName>
    <definedName name="HTML_LineBefore" hidden="1">TRUE</definedName>
    <definedName name="HTML_Name" localSheetId="13" hidden="1">""</definedName>
    <definedName name="HTML_Name" hidden="1">"Aswath Damodaran"</definedName>
    <definedName name="HTML_OBDlg2" hidden="1">TRUE</definedName>
    <definedName name="HTML_OBDlg4" hidden="1">TRUE</definedName>
    <definedName name="HTML_OS" localSheetId="13" hidden="1">0</definedName>
    <definedName name="HTML_OS" hidden="1">1</definedName>
    <definedName name="HTML_PathFile" localSheetId="5" hidden="1">"C:\Mis documentos\ue.trans.htm"</definedName>
    <definedName name="HTML_PathFile" localSheetId="3" hidden="1">"C:\Mis documentos\ue.trans.htm"</definedName>
    <definedName name="HTML_PathFile" hidden="1">"F:\WEB\JULIO\c46.htm"</definedName>
    <definedName name="HTML_PathFileMac" localSheetId="5" hidden="1">"Macintosh HD:HomePageStuff:pc:datasets:implprem.html"</definedName>
    <definedName name="HTML_PathFileMac" localSheetId="3" hidden="1">"Macintosh HD:HomePageStuff:pc:datasets:implprem.html"</definedName>
    <definedName name="HTML_PathFileMac" hidden="1">"Macintosh HD:HomePageStuff:New_Home_Page:datafile:histret.html"</definedName>
    <definedName name="HTML_Title" localSheetId="5" hidden="1">"S&amp;P Implied Equity Premiums"</definedName>
    <definedName name="HTML_Title" localSheetId="3" hidden="1">"S&amp;P Implied Equity Premiums"</definedName>
    <definedName name="HTML_Title" localSheetId="13" hidden="1">""</definedName>
    <definedName name="HTML_Title" hidden="1">"Historical Returns on Stocks, Bonds and Bills"</definedName>
    <definedName name="HTML1_1" localSheetId="5" hidden="1">"[RiskPremiumUS]Sheet1!$A$1:$M$38"</definedName>
    <definedName name="HTML1_1" localSheetId="3" hidden="1">"[RiskPremiumUS]Sheet1!$A$1:$M$38"</definedName>
    <definedName name="HTML1_1" hidden="1">"[ReturnsHistorical]Sheet1!$A$1:$D$77"</definedName>
    <definedName name="HTML1_10" hidden="1">""</definedName>
    <definedName name="HTML1_11" hidden="1">1</definedName>
    <definedName name="HTML1_12" localSheetId="5" hidden="1">"Zip 100:New_Home_Page:datafile:implpr.html"</definedName>
    <definedName name="HTML1_12" localSheetId="3" hidden="1">"Zip 100:New_Home_Page:datafile:implpr.html"</definedName>
    <definedName name="HTML1_12" hidden="1">"Zip 100:New_Home_Page:datafile:histret.html"</definedName>
    <definedName name="HTML1_2" hidden="1">1</definedName>
    <definedName name="HTML1_3" localSheetId="5" hidden="1">"RiskPremiumUS"</definedName>
    <definedName name="HTML1_3" localSheetId="3" hidden="1">"RiskPremiumUS"</definedName>
    <definedName name="HTML1_3" hidden="1">"ReturnsHistorical"</definedName>
    <definedName name="HTML1_4" localSheetId="5" hidden="1">"Implied Risk Premiums for US"</definedName>
    <definedName name="HTML1_4" localSheetId="3" hidden="1">"Implied Risk Premiums for US"</definedName>
    <definedName name="HTML1_4" hidden="1">"Historical Returns on Stocks, Bonds and Bills"</definedName>
    <definedName name="HTML1_5" localSheetId="5" hidden="1">""</definedName>
    <definedName name="HTML1_5" localSheetId="3" hidden="1">""</definedName>
    <definedName name="HTML1_5" hidden="1">"Ibbotson Data"</definedName>
    <definedName name="HTML1_6" hidden="1">-4146</definedName>
    <definedName name="HTML1_7" hidden="1">-4146</definedName>
    <definedName name="HTML1_8" localSheetId="5" hidden="1">"3/19/97"</definedName>
    <definedName name="HTML1_8" localSheetId="3" hidden="1">"3/19/97"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localSheetId="5" hidden="1">1</definedName>
    <definedName name="HTMLCount" localSheetId="3" hidden="1">1</definedName>
    <definedName name="HTMLCount" hidden="1">2</definedName>
    <definedName name="IGV">[4]TUUA!$G$63</definedName>
    <definedName name="IQ_ADDIN" hidden="1">"AUTO"</definedName>
    <definedName name="IQ_CH" hidden="1">110000</definedName>
    <definedName name="IQ_CONTRACTS_OTHER_COMMODITIES_EQUITIES._FDIC" hidden="1">"c6522"</definedName>
    <definedName name="IQ_CQ" hidden="1">5000</definedName>
    <definedName name="IQ_CY" hidden="1">10000</definedName>
    <definedName name="IQ_FH" hidden="1">100000</definedName>
    <definedName name="IQ_FOREIGN_BRANCHES_U.S._BANKS_LOANS_FDIC" hidden="1">"c6438"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MONTH" hidden="1">15000</definedName>
    <definedName name="IQ_NAMES_REVISION_DATE_" hidden="1">40210.5739814815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Mutua" localSheetId="5" hidden="1">{"'transportes'!$A$3:$K$28"}</definedName>
    <definedName name="Mutua" hidden="1">{"'transportes'!$A$3:$K$28"}</definedName>
    <definedName name="no" localSheetId="5" hidden="1">{"'Sheet1'!$A$1:$O$40"}</definedName>
    <definedName name="no" hidden="1">{"'Sheet1'!$A$1:$O$40"}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MultipleCPUSupportEnabled" hidden="1">TRUE</definedName>
    <definedName name="solver_adj" hidden="1">#REF!</definedName>
    <definedName name="solver_lin" hidden="1">0</definedName>
    <definedName name="solver_num" hidden="1">2</definedName>
    <definedName name="solver_opt" hidden="1">#REF!</definedName>
    <definedName name="solver_rel1" hidden="1">3</definedName>
    <definedName name="solver_rel2" hidden="1">1</definedName>
    <definedName name="solver_rhs1" hidden="1">9.11</definedName>
    <definedName name="solver_rhs2" hidden="1">9.12</definedName>
    <definedName name="solver_tmp" hidden="1">9.12</definedName>
    <definedName name="solver_typ" hidden="1">3</definedName>
    <definedName name="solver_val" hidden="1">32.425</definedName>
    <definedName name="t" localSheetId="5" hidden="1">{#N/A,"Norpal/Enciplan",FALSE,"RESUMO";#N/A,"LOT",FALSE,"RESUMO";#N/A,"Pessimista",FALSE,"RESUMO"}</definedName>
    <definedName name="t" hidden="1">{#N/A,"Norpal/Enciplan",FALSE,"RESUMO";#N/A,"LOT",FALSE,"RESUMO";#N/A,"Pessimista",FALSE,"RESUMO"}</definedName>
    <definedName name="Tc">[4]TUUA!$C$10</definedName>
    <definedName name="wrn.Cenários." localSheetId="5" hidden="1">{#N/A,"Norpal/Enciplan",FALSE,"RESUMO";#N/A,"LOT",FALSE,"RESUMO";#N/A,"Pessimista",FALSE,"RESUMO"}</definedName>
    <definedName name="wrn.Cenários." hidden="1">{#N/A,"Norpal/Enciplan",FALSE,"RESUMO";#N/A,"LOT",FALSE,"RESUMO";#N/A,"Pessimista",FALSE,"RESUMO"}</definedName>
    <definedName name="Z_19249254_A75D_4B48_B3A0_5E1C96C2F738_.wvu.PrintArea" hidden="1">#REF!</definedName>
    <definedName name="Z_6719458D_601D_447B_BE41_98768769587C_.wvu.PrintArea" hidden="1">#REF!</definedName>
    <definedName name="Z_82BEA2AF_56BA_4CBB_A5CE_122301B1F4AC_.wvu.PrintArea" hidden="1">#REF!</definedName>
    <definedName name="Z_9A792388_A7C0_4857_86E5_5A1294D6E337_.wvu.PrintArea" hidden="1">#REF!</definedName>
    <definedName name="Z_9C590AB9_0A5E_488B_8CBE_313BDD27B1E8_.wvu.PrintArea" hidden="1">#REF!</definedName>
    <definedName name="Z_D34D34F5_EB7A_4CD0_BA96_F3C59F96F8E9_.wvu.PrintArea" hidden="1">#REF!</definedName>
    <definedName name="Z_E752B9D8_CCD7_4A79_9F4F_96CB25802E42_.wvu.PrintArea" hidden="1">#REF!</definedName>
    <definedName name="Z_F7D9A5CD_8D6C_4415_9C30_BDA3D52F0FD1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45" l="1"/>
  <c r="F31" i="33" l="1"/>
  <c r="L16" i="58"/>
  <c r="F21" i="33" l="1"/>
  <c r="L13" i="58"/>
  <c r="G13" i="56" s="1"/>
  <c r="G16" i="56" s="1"/>
  <c r="H13" i="58"/>
  <c r="I13" i="58"/>
  <c r="J13" i="58"/>
  <c r="K13" i="58"/>
  <c r="G13" i="58"/>
  <c r="K12" i="58"/>
  <c r="J12" i="58"/>
  <c r="I12" i="58"/>
  <c r="H12" i="58"/>
  <c r="G12" i="58"/>
  <c r="F12" i="58"/>
  <c r="K16" i="58" l="1"/>
  <c r="K18" i="58" s="1"/>
  <c r="K9" i="58" s="1"/>
  <c r="J16" i="58"/>
  <c r="J18" i="58" s="1"/>
  <c r="J9" i="58" s="1"/>
  <c r="I16" i="58"/>
  <c r="I18" i="58" s="1"/>
  <c r="I9" i="58" s="1"/>
  <c r="H16" i="58"/>
  <c r="H18" i="58" s="1"/>
  <c r="H9" i="58" s="1"/>
  <c r="G16" i="58"/>
  <c r="F16" i="58"/>
  <c r="G18" i="58" l="1"/>
  <c r="G9" i="58" s="1"/>
  <c r="F18" i="58"/>
  <c r="F9" i="58" s="1"/>
  <c r="W14" i="52"/>
  <c r="W11" i="52"/>
  <c r="L29" i="45" l="1"/>
  <c r="J29" i="45"/>
  <c r="F20" i="33"/>
  <c r="G10" i="56" l="1"/>
  <c r="G9" i="56"/>
  <c r="G8" i="56"/>
  <c r="AB22" i="52"/>
  <c r="AB21" i="52"/>
  <c r="X22" i="52"/>
  <c r="Y22" i="52"/>
  <c r="Z22" i="52"/>
  <c r="AA22" i="52"/>
  <c r="AA21" i="52"/>
  <c r="Y21" i="52"/>
  <c r="Z21" i="52"/>
  <c r="X21" i="52"/>
  <c r="W10" i="52"/>
  <c r="W9" i="52"/>
  <c r="W19" i="52"/>
  <c r="Y19" i="52"/>
  <c r="Z19" i="52"/>
  <c r="AA19" i="52"/>
  <c r="X19" i="52"/>
  <c r="N45" i="54"/>
  <c r="M45" i="54"/>
  <c r="F45" i="54"/>
  <c r="E45" i="54"/>
  <c r="T44" i="54"/>
  <c r="T45" i="54" s="1"/>
  <c r="S44" i="54"/>
  <c r="S45" i="54" s="1"/>
  <c r="R44" i="54"/>
  <c r="R45" i="54" s="1"/>
  <c r="Q44" i="54"/>
  <c r="Q45" i="54" s="1"/>
  <c r="P44" i="54"/>
  <c r="P45" i="54" s="1"/>
  <c r="O44" i="54"/>
  <c r="O45" i="54" s="1"/>
  <c r="N44" i="54"/>
  <c r="M44" i="54"/>
  <c r="L44" i="54"/>
  <c r="L45" i="54" s="1"/>
  <c r="K44" i="54"/>
  <c r="K45" i="54" s="1"/>
  <c r="J44" i="54"/>
  <c r="J45" i="54" s="1"/>
  <c r="I44" i="54"/>
  <c r="I45" i="54" s="1"/>
  <c r="H44" i="54"/>
  <c r="H45" i="54" s="1"/>
  <c r="G44" i="54"/>
  <c r="G45" i="54" s="1"/>
  <c r="F44" i="54"/>
  <c r="E44" i="54"/>
  <c r="D44" i="54"/>
  <c r="D45" i="54" s="1"/>
  <c r="C44" i="54"/>
  <c r="C45" i="54" s="1"/>
  <c r="T38" i="54"/>
  <c r="S38" i="54"/>
  <c r="R38" i="54"/>
  <c r="Q38" i="54"/>
  <c r="P38" i="54"/>
  <c r="O38" i="54"/>
  <c r="N38" i="54"/>
  <c r="M38" i="54"/>
  <c r="L38" i="54"/>
  <c r="K38" i="54"/>
  <c r="J38" i="54"/>
  <c r="I38" i="54"/>
  <c r="H38" i="54"/>
  <c r="G38" i="54"/>
  <c r="F38" i="54"/>
  <c r="E38" i="54"/>
  <c r="D38" i="54"/>
  <c r="C38" i="54"/>
  <c r="T15" i="54"/>
  <c r="T21" i="54" s="1"/>
  <c r="T28" i="54" s="1"/>
  <c r="T30" i="54" s="1"/>
  <c r="T32" i="54" s="1"/>
  <c r="S15" i="54"/>
  <c r="S21" i="54" s="1"/>
  <c r="S28" i="54" s="1"/>
  <c r="S30" i="54" s="1"/>
  <c r="S32" i="54" s="1"/>
  <c r="L15" i="54"/>
  <c r="L21" i="54" s="1"/>
  <c r="L28" i="54" s="1"/>
  <c r="L30" i="54" s="1"/>
  <c r="L32" i="54" s="1"/>
  <c r="K15" i="54"/>
  <c r="K21" i="54" s="1"/>
  <c r="K28" i="54" s="1"/>
  <c r="K30" i="54" s="1"/>
  <c r="K32" i="54" s="1"/>
  <c r="D15" i="54"/>
  <c r="D21" i="54" s="1"/>
  <c r="D28" i="54" s="1"/>
  <c r="D30" i="54" s="1"/>
  <c r="D32" i="54" s="1"/>
  <c r="D46" i="54" s="1"/>
  <c r="C15" i="54"/>
  <c r="C21" i="54" s="1"/>
  <c r="C28" i="54" s="1"/>
  <c r="C30" i="54" s="1"/>
  <c r="C32" i="54" s="1"/>
  <c r="C46" i="54" s="1"/>
  <c r="T13" i="54"/>
  <c r="S13" i="54"/>
  <c r="R13" i="54"/>
  <c r="R15" i="54" s="1"/>
  <c r="R21" i="54" s="1"/>
  <c r="R28" i="54" s="1"/>
  <c r="R30" i="54" s="1"/>
  <c r="R32" i="54" s="1"/>
  <c r="Q13" i="54"/>
  <c r="Q15" i="54" s="1"/>
  <c r="Q21" i="54" s="1"/>
  <c r="Q28" i="54" s="1"/>
  <c r="Q30" i="54" s="1"/>
  <c r="Q32" i="54" s="1"/>
  <c r="P13" i="54"/>
  <c r="P15" i="54" s="1"/>
  <c r="P21" i="54" s="1"/>
  <c r="P28" i="54" s="1"/>
  <c r="P30" i="54" s="1"/>
  <c r="P32" i="54" s="1"/>
  <c r="P46" i="54" s="1"/>
  <c r="O13" i="54"/>
  <c r="O15" i="54" s="1"/>
  <c r="O21" i="54" s="1"/>
  <c r="O28" i="54" s="1"/>
  <c r="O30" i="54" s="1"/>
  <c r="O32" i="54" s="1"/>
  <c r="O46" i="54" s="1"/>
  <c r="N13" i="54"/>
  <c r="N15" i="54" s="1"/>
  <c r="N21" i="54" s="1"/>
  <c r="N28" i="54" s="1"/>
  <c r="N30" i="54" s="1"/>
  <c r="N32" i="54" s="1"/>
  <c r="N46" i="54" s="1"/>
  <c r="M13" i="54"/>
  <c r="M15" i="54" s="1"/>
  <c r="M21" i="54" s="1"/>
  <c r="M28" i="54" s="1"/>
  <c r="M30" i="54" s="1"/>
  <c r="M32" i="54" s="1"/>
  <c r="M46" i="54" s="1"/>
  <c r="L13" i="54"/>
  <c r="K13" i="54"/>
  <c r="J13" i="54"/>
  <c r="J15" i="54" s="1"/>
  <c r="J21" i="54" s="1"/>
  <c r="J28" i="54" s="1"/>
  <c r="J30" i="54" s="1"/>
  <c r="J32" i="54" s="1"/>
  <c r="I13" i="54"/>
  <c r="I15" i="54" s="1"/>
  <c r="I21" i="54" s="1"/>
  <c r="I28" i="54" s="1"/>
  <c r="I30" i="54" s="1"/>
  <c r="I32" i="54" s="1"/>
  <c r="H13" i="54"/>
  <c r="H15" i="54" s="1"/>
  <c r="H21" i="54" s="1"/>
  <c r="H28" i="54" s="1"/>
  <c r="H30" i="54" s="1"/>
  <c r="H32" i="54" s="1"/>
  <c r="H46" i="54" s="1"/>
  <c r="G13" i="54"/>
  <c r="G15" i="54" s="1"/>
  <c r="G21" i="54" s="1"/>
  <c r="G28" i="54" s="1"/>
  <c r="G30" i="54" s="1"/>
  <c r="G32" i="54" s="1"/>
  <c r="G46" i="54" s="1"/>
  <c r="F13" i="54"/>
  <c r="F15" i="54" s="1"/>
  <c r="F21" i="54" s="1"/>
  <c r="F28" i="54" s="1"/>
  <c r="F30" i="54" s="1"/>
  <c r="F32" i="54" s="1"/>
  <c r="F46" i="54" s="1"/>
  <c r="E13" i="54"/>
  <c r="E15" i="54" s="1"/>
  <c r="E21" i="54" s="1"/>
  <c r="E28" i="54" s="1"/>
  <c r="E30" i="54" s="1"/>
  <c r="E32" i="54" s="1"/>
  <c r="E46" i="54" s="1"/>
  <c r="D13" i="54"/>
  <c r="C13" i="54"/>
  <c r="K46" i="54" l="1"/>
  <c r="L46" i="54"/>
  <c r="I46" i="54"/>
  <c r="Q46" i="54"/>
  <c r="S46" i="54"/>
  <c r="J46" i="54"/>
  <c r="R46" i="54"/>
  <c r="T46" i="54"/>
  <c r="J8" i="53"/>
  <c r="L8" i="53" s="1"/>
  <c r="K8" i="53"/>
  <c r="O8" i="53" s="1"/>
  <c r="I9" i="53"/>
  <c r="J9" i="53" s="1"/>
  <c r="G9" i="53"/>
  <c r="K9" i="53" s="1"/>
  <c r="Y10" i="52"/>
  <c r="Y14" i="52" s="1"/>
  <c r="Z10" i="52"/>
  <c r="AA10" i="52"/>
  <c r="X11" i="52"/>
  <c r="AB11" i="52" s="1"/>
  <c r="T71" i="52"/>
  <c r="AA11" i="52" s="1"/>
  <c r="S71" i="52"/>
  <c r="Z11" i="52" s="1"/>
  <c r="R71" i="52"/>
  <c r="Y11" i="52" s="1"/>
  <c r="Q71" i="52"/>
  <c r="P71" i="52"/>
  <c r="O71" i="52"/>
  <c r="N71" i="52"/>
  <c r="M71" i="52"/>
  <c r="L71" i="52"/>
  <c r="K71" i="52"/>
  <c r="J71" i="52"/>
  <c r="I71" i="52"/>
  <c r="H71" i="52"/>
  <c r="G71" i="52"/>
  <c r="F71" i="52"/>
  <c r="E71" i="52"/>
  <c r="D71" i="52"/>
  <c r="C71" i="52"/>
  <c r="I61" i="52"/>
  <c r="T60" i="52"/>
  <c r="S60" i="52"/>
  <c r="R60" i="52"/>
  <c r="Q60" i="52"/>
  <c r="P60" i="52"/>
  <c r="O60" i="52"/>
  <c r="N60" i="52"/>
  <c r="M60" i="52"/>
  <c r="L60" i="52"/>
  <c r="K60" i="52"/>
  <c r="J60" i="52"/>
  <c r="I60" i="52"/>
  <c r="H60" i="52"/>
  <c r="H61" i="52" s="1"/>
  <c r="G60" i="52"/>
  <c r="F60" i="52"/>
  <c r="E60" i="52"/>
  <c r="D60" i="52"/>
  <c r="C60" i="52"/>
  <c r="T49" i="52"/>
  <c r="S49" i="52"/>
  <c r="R49" i="52"/>
  <c r="Q49" i="52"/>
  <c r="P49" i="52"/>
  <c r="O49" i="52"/>
  <c r="N49" i="52"/>
  <c r="M49" i="52"/>
  <c r="L49" i="52"/>
  <c r="K49" i="52"/>
  <c r="J49" i="52"/>
  <c r="I49" i="52"/>
  <c r="H49" i="52"/>
  <c r="G49" i="52"/>
  <c r="F49" i="52"/>
  <c r="E49" i="52"/>
  <c r="D42" i="52"/>
  <c r="D49" i="52" s="1"/>
  <c r="C42" i="52"/>
  <c r="C49" i="52" s="1"/>
  <c r="J35" i="52"/>
  <c r="T34" i="52"/>
  <c r="S34" i="52"/>
  <c r="R34" i="52"/>
  <c r="Q34" i="52"/>
  <c r="P34" i="52"/>
  <c r="O34" i="52"/>
  <c r="N34" i="52"/>
  <c r="M34" i="52"/>
  <c r="L34" i="52"/>
  <c r="K34" i="52"/>
  <c r="J34" i="52"/>
  <c r="I34" i="52"/>
  <c r="H34" i="52"/>
  <c r="G34" i="52"/>
  <c r="F34" i="52"/>
  <c r="E34" i="52"/>
  <c r="D34" i="52"/>
  <c r="C34" i="52"/>
  <c r="T22" i="52"/>
  <c r="S22" i="52"/>
  <c r="R22" i="52"/>
  <c r="R35" i="52" s="1"/>
  <c r="Q22" i="52"/>
  <c r="Q35" i="52" s="1"/>
  <c r="P22" i="52"/>
  <c r="P35" i="52" s="1"/>
  <c r="O22" i="52"/>
  <c r="N22" i="52"/>
  <c r="M22" i="52"/>
  <c r="M35" i="52" s="1"/>
  <c r="L22" i="52"/>
  <c r="L35" i="52" s="1"/>
  <c r="K22" i="52"/>
  <c r="J22" i="52"/>
  <c r="I22" i="52"/>
  <c r="I35" i="52" s="1"/>
  <c r="H22" i="52"/>
  <c r="H35" i="52" s="1"/>
  <c r="G22" i="52"/>
  <c r="F22" i="52"/>
  <c r="E22" i="52"/>
  <c r="E35" i="52" s="1"/>
  <c r="D22" i="52"/>
  <c r="D35" i="52" s="1"/>
  <c r="C22" i="52"/>
  <c r="AA14" i="52" l="1"/>
  <c r="Z14" i="52"/>
  <c r="P61" i="52"/>
  <c r="Q61" i="52"/>
  <c r="X9" i="52" s="1"/>
  <c r="K61" i="52"/>
  <c r="K72" i="52" s="1"/>
  <c r="S61" i="52"/>
  <c r="Z9" i="52" s="1"/>
  <c r="J61" i="52"/>
  <c r="J72" i="52" s="1"/>
  <c r="J75" i="52" s="1"/>
  <c r="R61" i="52"/>
  <c r="Y9" i="52" s="1"/>
  <c r="L61" i="52"/>
  <c r="L72" i="52" s="1"/>
  <c r="T61" i="52"/>
  <c r="T35" i="52"/>
  <c r="X10" i="52"/>
  <c r="P8" i="53"/>
  <c r="M8" i="53"/>
  <c r="O9" i="53"/>
  <c r="P9" i="53"/>
  <c r="M9" i="53"/>
  <c r="L9" i="53"/>
  <c r="M61" i="52"/>
  <c r="M72" i="52" s="1"/>
  <c r="M75" i="52" s="1"/>
  <c r="L75" i="52"/>
  <c r="G61" i="52"/>
  <c r="G72" i="52" s="1"/>
  <c r="G75" i="52" s="1"/>
  <c r="O61" i="52"/>
  <c r="F61" i="52"/>
  <c r="F72" i="52" s="1"/>
  <c r="C35" i="52"/>
  <c r="K35" i="52"/>
  <c r="S35" i="52"/>
  <c r="H72" i="52"/>
  <c r="H75" i="52" s="1"/>
  <c r="P72" i="52"/>
  <c r="P75" i="52" s="1"/>
  <c r="D61" i="52"/>
  <c r="D72" i="52" s="1"/>
  <c r="D75" i="52" s="1"/>
  <c r="F35" i="52"/>
  <c r="N35" i="52"/>
  <c r="I72" i="52"/>
  <c r="I75" i="52" s="1"/>
  <c r="Q72" i="52"/>
  <c r="Q75" i="52" s="1"/>
  <c r="E61" i="52"/>
  <c r="E72" i="52" s="1"/>
  <c r="E75" i="52" s="1"/>
  <c r="N61" i="52"/>
  <c r="N72" i="52" s="1"/>
  <c r="G35" i="52"/>
  <c r="O35" i="52"/>
  <c r="O72" i="52"/>
  <c r="C61" i="52"/>
  <c r="C72" i="52"/>
  <c r="C75" i="52" s="1"/>
  <c r="Y13" i="52" l="1"/>
  <c r="Z13" i="52"/>
  <c r="AB10" i="52"/>
  <c r="X14" i="52"/>
  <c r="AB14" i="52" s="1"/>
  <c r="X13" i="52"/>
  <c r="AB13" i="52" s="1"/>
  <c r="AB9" i="52"/>
  <c r="R72" i="52"/>
  <c r="R75" i="52" s="1"/>
  <c r="T72" i="52"/>
  <c r="T75" i="52" s="1"/>
  <c r="AA9" i="52"/>
  <c r="AA13" i="52" s="1"/>
  <c r="S72" i="52"/>
  <c r="S75" i="52" s="1"/>
  <c r="O75" i="52"/>
  <c r="F75" i="52"/>
  <c r="N75" i="52"/>
  <c r="K75" i="52"/>
  <c r="K10" i="53" l="1"/>
  <c r="J10" i="53"/>
  <c r="F24" i="33" s="1"/>
  <c r="F19" i="33" s="1"/>
  <c r="M10" i="53" l="1"/>
  <c r="L10" i="53"/>
  <c r="P10" i="53"/>
  <c r="O10" i="53"/>
  <c r="F9" i="33" l="1"/>
  <c r="C10" i="51" l="1"/>
  <c r="C13" i="51" s="1"/>
  <c r="Z7" i="51"/>
  <c r="Y7" i="51"/>
  <c r="X7" i="51"/>
  <c r="W7" i="51"/>
  <c r="V7" i="51"/>
  <c r="U7" i="51"/>
  <c r="T7" i="51"/>
  <c r="S7" i="51"/>
  <c r="R7" i="51"/>
  <c r="Q7" i="51"/>
  <c r="P7" i="51"/>
  <c r="O7" i="51"/>
  <c r="N7" i="51"/>
  <c r="M7" i="51"/>
  <c r="L7" i="51"/>
  <c r="K7" i="51"/>
  <c r="J7" i="51"/>
  <c r="I7" i="51"/>
  <c r="H7" i="51"/>
  <c r="G7" i="51"/>
  <c r="F7" i="51"/>
  <c r="E7" i="51"/>
  <c r="D7" i="51"/>
  <c r="C7" i="51"/>
  <c r="C11" i="51" l="1"/>
  <c r="F25" i="33" l="1"/>
  <c r="A9" i="33" l="1"/>
  <c r="F14" i="33" l="1"/>
  <c r="L8" i="47"/>
  <c r="J8" i="47"/>
  <c r="J21" i="45"/>
  <c r="J18" i="45"/>
  <c r="J19" i="45"/>
  <c r="J20" i="45"/>
  <c r="J17" i="45"/>
  <c r="L21" i="45"/>
  <c r="L18" i="45"/>
  <c r="L19" i="45"/>
  <c r="L20" i="45"/>
  <c r="F17" i="33" l="1"/>
  <c r="A4" i="41"/>
  <c r="C4" i="41"/>
  <c r="G5" i="41" l="1"/>
  <c r="G6" i="41"/>
  <c r="G7" i="41"/>
  <c r="G8" i="41"/>
  <c r="G9" i="41"/>
  <c r="G10" i="41"/>
  <c r="G11" i="41"/>
  <c r="G12" i="41"/>
  <c r="G13" i="41"/>
  <c r="G14" i="41"/>
  <c r="G15" i="41"/>
  <c r="G4" i="41"/>
  <c r="G16" i="41"/>
  <c r="G17" i="41"/>
  <c r="G18" i="41"/>
  <c r="G19" i="41"/>
  <c r="G20" i="41"/>
  <c r="G21" i="41"/>
  <c r="G22" i="41"/>
  <c r="G23" i="41"/>
  <c r="G24" i="41"/>
  <c r="G25" i="41"/>
  <c r="G26" i="41"/>
  <c r="G27" i="41"/>
  <c r="C5" i="37"/>
  <c r="G5" i="37"/>
  <c r="G6" i="37"/>
  <c r="G7" i="37"/>
  <c r="G8" i="37"/>
  <c r="G9" i="37"/>
  <c r="G10" i="37"/>
  <c r="G11" i="37"/>
  <c r="G12" i="37"/>
  <c r="G13" i="37"/>
  <c r="G14" i="37"/>
  <c r="G15" i="37"/>
  <c r="G16" i="37"/>
  <c r="G17" i="37"/>
  <c r="G18" i="37"/>
  <c r="G19" i="37"/>
  <c r="G20" i="37"/>
  <c r="G21" i="37"/>
  <c r="G22" i="37"/>
  <c r="G23" i="37"/>
  <c r="G24" i="37"/>
  <c r="G25" i="37"/>
  <c r="G26" i="37"/>
  <c r="G27" i="37"/>
  <c r="G28" i="37"/>
  <c r="G29" i="37"/>
  <c r="G30" i="37"/>
  <c r="G31" i="37"/>
  <c r="G32" i="37"/>
  <c r="G33" i="37"/>
  <c r="G34" i="37"/>
  <c r="G35" i="37"/>
  <c r="G36" i="37"/>
  <c r="G37" i="37"/>
  <c r="G38" i="37"/>
  <c r="G39" i="37"/>
  <c r="G40" i="37"/>
  <c r="G41" i="37"/>
  <c r="G42" i="37"/>
  <c r="G43" i="37"/>
  <c r="G44" i="37"/>
  <c r="G45" i="37"/>
  <c r="G46" i="37"/>
  <c r="G47" i="37"/>
  <c r="G48" i="37"/>
  <c r="G49" i="37"/>
  <c r="G50" i="37"/>
  <c r="G51" i="37"/>
  <c r="G52" i="37"/>
  <c r="G53" i="37"/>
  <c r="G54" i="37"/>
  <c r="G55" i="37"/>
  <c r="G56" i="37"/>
  <c r="G57" i="37"/>
  <c r="G58" i="37"/>
  <c r="G59" i="37"/>
  <c r="G60" i="37"/>
  <c r="G61" i="37"/>
  <c r="G62" i="37"/>
  <c r="G63" i="37"/>
  <c r="G64" i="37"/>
  <c r="G65" i="37"/>
  <c r="G66" i="37"/>
  <c r="G67" i="37"/>
  <c r="G68" i="37"/>
  <c r="G69" i="37"/>
  <c r="G70" i="37"/>
  <c r="G71" i="37"/>
  <c r="G72" i="37"/>
  <c r="G73" i="37"/>
  <c r="G74" i="37"/>
  <c r="G75" i="37"/>
  <c r="G76" i="37"/>
  <c r="G77" i="37"/>
  <c r="G78" i="37"/>
  <c r="G79" i="37"/>
  <c r="G80" i="37"/>
  <c r="G81" i="37"/>
  <c r="G82" i="37"/>
  <c r="G83" i="37"/>
  <c r="G84" i="37"/>
  <c r="G85" i="37"/>
  <c r="G86" i="37"/>
  <c r="G87" i="37"/>
  <c r="G88" i="37"/>
  <c r="G89" i="37"/>
  <c r="G90" i="37"/>
  <c r="G91" i="37"/>
  <c r="G92" i="37"/>
  <c r="G93" i="37"/>
  <c r="G94" i="37"/>
  <c r="G95" i="37"/>
  <c r="G96" i="37"/>
  <c r="G97" i="37"/>
  <c r="G4" i="37"/>
  <c r="F5" i="37"/>
  <c r="H5" i="37" s="1"/>
  <c r="F6" i="37"/>
  <c r="H6" i="37" s="1"/>
  <c r="F7" i="37"/>
  <c r="F8" i="37"/>
  <c r="F9" i="37"/>
  <c r="F10" i="37"/>
  <c r="F11" i="37"/>
  <c r="F12" i="37"/>
  <c r="F13" i="37"/>
  <c r="H13" i="37" s="1"/>
  <c r="F14" i="37"/>
  <c r="H14" i="37" s="1"/>
  <c r="F15" i="37"/>
  <c r="F16" i="37"/>
  <c r="F17" i="37"/>
  <c r="F18" i="37"/>
  <c r="F19" i="37"/>
  <c r="H19" i="37" s="1"/>
  <c r="F20" i="37"/>
  <c r="F21" i="37"/>
  <c r="H21" i="37" s="1"/>
  <c r="F22" i="37"/>
  <c r="H22" i="37" s="1"/>
  <c r="F23" i="37"/>
  <c r="F24" i="37"/>
  <c r="H24" i="37" s="1"/>
  <c r="F25" i="37"/>
  <c r="F26" i="37"/>
  <c r="F27" i="37"/>
  <c r="F28" i="37"/>
  <c r="F29" i="37"/>
  <c r="H29" i="37" s="1"/>
  <c r="F30" i="37"/>
  <c r="H30" i="37" s="1"/>
  <c r="F31" i="37"/>
  <c r="F32" i="37"/>
  <c r="H32" i="37" s="1"/>
  <c r="F33" i="37"/>
  <c r="F34" i="37"/>
  <c r="F35" i="37"/>
  <c r="F36" i="37"/>
  <c r="F37" i="37"/>
  <c r="H37" i="37" s="1"/>
  <c r="F38" i="37"/>
  <c r="F39" i="37"/>
  <c r="F40" i="37"/>
  <c r="H40" i="37" s="1"/>
  <c r="F41" i="37"/>
  <c r="F42" i="37"/>
  <c r="F43" i="37"/>
  <c r="F44" i="37"/>
  <c r="F45" i="37"/>
  <c r="H45" i="37" s="1"/>
  <c r="F46" i="37"/>
  <c r="H46" i="37" s="1"/>
  <c r="F47" i="37"/>
  <c r="F48" i="37"/>
  <c r="H48" i="37" s="1"/>
  <c r="F49" i="37"/>
  <c r="F50" i="37"/>
  <c r="F51" i="37"/>
  <c r="F52" i="37"/>
  <c r="F53" i="37"/>
  <c r="H53" i="37" s="1"/>
  <c r="F54" i="37"/>
  <c r="H54" i="37" s="1"/>
  <c r="F55" i="37"/>
  <c r="F56" i="37"/>
  <c r="H56" i="37" s="1"/>
  <c r="F57" i="37"/>
  <c r="F58" i="37"/>
  <c r="F59" i="37"/>
  <c r="F60" i="37"/>
  <c r="F61" i="37"/>
  <c r="H61" i="37" s="1"/>
  <c r="F62" i="37"/>
  <c r="H62" i="37" s="1"/>
  <c r="F63" i="37"/>
  <c r="F64" i="37"/>
  <c r="H64" i="37" s="1"/>
  <c r="J64" i="37" s="1"/>
  <c r="F65" i="37"/>
  <c r="F66" i="37"/>
  <c r="F67" i="37"/>
  <c r="F68" i="37"/>
  <c r="F69" i="37"/>
  <c r="H69" i="37" s="1"/>
  <c r="F70" i="37"/>
  <c r="H70" i="37" s="1"/>
  <c r="F71" i="37"/>
  <c r="F72" i="37"/>
  <c r="H72" i="37" s="1"/>
  <c r="J72" i="37" s="1"/>
  <c r="F73" i="37"/>
  <c r="F74" i="37"/>
  <c r="F75" i="37"/>
  <c r="F76" i="37"/>
  <c r="F77" i="37"/>
  <c r="H77" i="37" s="1"/>
  <c r="J77" i="37" s="1"/>
  <c r="F78" i="37"/>
  <c r="H78" i="37" s="1"/>
  <c r="F79" i="37"/>
  <c r="F80" i="37"/>
  <c r="H80" i="37" s="1"/>
  <c r="F81" i="37"/>
  <c r="F82" i="37"/>
  <c r="F83" i="37"/>
  <c r="F84" i="37"/>
  <c r="F85" i="37"/>
  <c r="H85" i="37" s="1"/>
  <c r="F86" i="37"/>
  <c r="H86" i="37" s="1"/>
  <c r="J86" i="37" s="1"/>
  <c r="F87" i="37"/>
  <c r="F88" i="37"/>
  <c r="H88" i="37" s="1"/>
  <c r="J88" i="37" s="1"/>
  <c r="F89" i="37"/>
  <c r="F90" i="37"/>
  <c r="F91" i="37"/>
  <c r="F92" i="37"/>
  <c r="F93" i="37"/>
  <c r="F94" i="37"/>
  <c r="H94" i="37" s="1"/>
  <c r="J94" i="37" s="1"/>
  <c r="F95" i="37"/>
  <c r="F96" i="37"/>
  <c r="H96" i="37" s="1"/>
  <c r="J96" i="37" s="1"/>
  <c r="F97" i="37"/>
  <c r="F4" i="37"/>
  <c r="E97" i="37"/>
  <c r="E96" i="37"/>
  <c r="E95" i="37"/>
  <c r="E94" i="37"/>
  <c r="E93" i="37"/>
  <c r="E92" i="37"/>
  <c r="E91" i="37"/>
  <c r="E90" i="37"/>
  <c r="E89" i="37"/>
  <c r="E88" i="37"/>
  <c r="E87" i="37"/>
  <c r="E86" i="37"/>
  <c r="E85" i="37"/>
  <c r="E84" i="37"/>
  <c r="E83" i="37"/>
  <c r="E82" i="37"/>
  <c r="E81" i="37"/>
  <c r="E80" i="37"/>
  <c r="E79" i="37"/>
  <c r="E78" i="37"/>
  <c r="E77" i="37"/>
  <c r="E76" i="37"/>
  <c r="E75" i="37"/>
  <c r="E74" i="37"/>
  <c r="E73" i="37"/>
  <c r="E72" i="37"/>
  <c r="E71" i="37"/>
  <c r="E70" i="37"/>
  <c r="E69" i="37"/>
  <c r="E68" i="37"/>
  <c r="E67" i="37"/>
  <c r="E66" i="37"/>
  <c r="E65" i="37"/>
  <c r="E64" i="37"/>
  <c r="E63" i="37"/>
  <c r="E62" i="37"/>
  <c r="E61" i="37"/>
  <c r="E60" i="37"/>
  <c r="E59" i="37"/>
  <c r="E58" i="37"/>
  <c r="E57" i="37"/>
  <c r="E56" i="37"/>
  <c r="E55" i="37"/>
  <c r="E54" i="37"/>
  <c r="E53" i="37"/>
  <c r="E52" i="37"/>
  <c r="E51" i="37"/>
  <c r="E50" i="37"/>
  <c r="E49" i="37"/>
  <c r="E48" i="37"/>
  <c r="E47" i="37"/>
  <c r="E46" i="37"/>
  <c r="E45" i="37"/>
  <c r="E44" i="37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E5" i="37"/>
  <c r="E4" i="37"/>
  <c r="H92" i="37" l="1"/>
  <c r="J92" i="37" s="1"/>
  <c r="H84" i="37"/>
  <c r="J84" i="37" s="1"/>
  <c r="H76" i="37"/>
  <c r="J76" i="37" s="1"/>
  <c r="H68" i="37"/>
  <c r="J68" i="37" s="1"/>
  <c r="H60" i="37"/>
  <c r="J60" i="37" s="1"/>
  <c r="H52" i="37"/>
  <c r="H44" i="37"/>
  <c r="H36" i="37"/>
  <c r="J36" i="37" s="1"/>
  <c r="H28" i="37"/>
  <c r="J28" i="37" s="1"/>
  <c r="H20" i="37"/>
  <c r="H12" i="37"/>
  <c r="J12" i="37" s="1"/>
  <c r="H91" i="37"/>
  <c r="J91" i="37" s="1"/>
  <c r="H83" i="37"/>
  <c r="H75" i="37"/>
  <c r="J75" i="37" s="1"/>
  <c r="H67" i="37"/>
  <c r="H59" i="37"/>
  <c r="H51" i="37"/>
  <c r="J51" i="37" s="1"/>
  <c r="H43" i="37"/>
  <c r="H35" i="37"/>
  <c r="J35" i="37" s="1"/>
  <c r="H27" i="37"/>
  <c r="J27" i="37" s="1"/>
  <c r="H11" i="37"/>
  <c r="H16" i="37"/>
  <c r="J16" i="37" s="1"/>
  <c r="J21" i="37"/>
  <c r="J61" i="37"/>
  <c r="J13" i="37"/>
  <c r="J54" i="37"/>
  <c r="J46" i="37"/>
  <c r="J56" i="37"/>
  <c r="J30" i="37"/>
  <c r="J19" i="37"/>
  <c r="J52" i="37"/>
  <c r="J44" i="37"/>
  <c r="J20" i="37"/>
  <c r="J83" i="37"/>
  <c r="J59" i="37"/>
  <c r="J67" i="37"/>
  <c r="J80" i="37"/>
  <c r="J48" i="37"/>
  <c r="J40" i="37"/>
  <c r="J32" i="37"/>
  <c r="J24" i="37"/>
  <c r="J78" i="37"/>
  <c r="J70" i="37"/>
  <c r="J62" i="37"/>
  <c r="J22" i="37"/>
  <c r="J14" i="37"/>
  <c r="J85" i="37"/>
  <c r="J69" i="37"/>
  <c r="J53" i="37"/>
  <c r="J45" i="37"/>
  <c r="J37" i="37"/>
  <c r="J29" i="37"/>
  <c r="J5" i="37"/>
  <c r="J43" i="37"/>
  <c r="J11" i="37"/>
  <c r="H93" i="37"/>
  <c r="J93" i="37" s="1"/>
  <c r="H38" i="37"/>
  <c r="J38" i="37" s="1"/>
  <c r="H90" i="37"/>
  <c r="J90" i="37" s="1"/>
  <c r="H82" i="37"/>
  <c r="J82" i="37" s="1"/>
  <c r="H74" i="37"/>
  <c r="J74" i="37" s="1"/>
  <c r="H66" i="37"/>
  <c r="J66" i="37" s="1"/>
  <c r="H58" i="37"/>
  <c r="J58" i="37" s="1"/>
  <c r="H50" i="37"/>
  <c r="J50" i="37" s="1"/>
  <c r="H42" i="37"/>
  <c r="J42" i="37" s="1"/>
  <c r="H34" i="37"/>
  <c r="J34" i="37" s="1"/>
  <c r="H26" i="37"/>
  <c r="J26" i="37" s="1"/>
  <c r="H18" i="37"/>
  <c r="J18" i="37" s="1"/>
  <c r="H10" i="37"/>
  <c r="J10" i="37" s="1"/>
  <c r="H97" i="37"/>
  <c r="J97" i="37" s="1"/>
  <c r="H89" i="37"/>
  <c r="J89" i="37" s="1"/>
  <c r="H81" i="37"/>
  <c r="J81" i="37" s="1"/>
  <c r="H73" i="37"/>
  <c r="J73" i="37" s="1"/>
  <c r="H65" i="37"/>
  <c r="J65" i="37" s="1"/>
  <c r="H57" i="37"/>
  <c r="J57" i="37" s="1"/>
  <c r="H49" i="37"/>
  <c r="J49" i="37" s="1"/>
  <c r="H41" i="37"/>
  <c r="J41" i="37" s="1"/>
  <c r="H33" i="37"/>
  <c r="J33" i="37" s="1"/>
  <c r="H25" i="37"/>
  <c r="J25" i="37" s="1"/>
  <c r="H17" i="37"/>
  <c r="J17" i="37" s="1"/>
  <c r="H9" i="37"/>
  <c r="J9" i="37" s="1"/>
  <c r="H8" i="37"/>
  <c r="J8" i="37" s="1"/>
  <c r="H95" i="37"/>
  <c r="J95" i="37" s="1"/>
  <c r="H87" i="37"/>
  <c r="J87" i="37" s="1"/>
  <c r="H79" i="37"/>
  <c r="J79" i="37" s="1"/>
  <c r="H71" i="37"/>
  <c r="J71" i="37" s="1"/>
  <c r="H63" i="37"/>
  <c r="J63" i="37" s="1"/>
  <c r="H55" i="37"/>
  <c r="J55" i="37" s="1"/>
  <c r="H47" i="37"/>
  <c r="J47" i="37" s="1"/>
  <c r="H39" i="37"/>
  <c r="J39" i="37" s="1"/>
  <c r="H31" i="37"/>
  <c r="J31" i="37" s="1"/>
  <c r="H23" i="37"/>
  <c r="J23" i="37" s="1"/>
  <c r="H15" i="37"/>
  <c r="J15" i="37" s="1"/>
  <c r="H7" i="37"/>
  <c r="J7" i="37" s="1"/>
  <c r="J6" i="37"/>
  <c r="E4" i="32"/>
  <c r="F4" i="32"/>
  <c r="G6" i="32"/>
  <c r="G12" i="32"/>
  <c r="G13" i="32"/>
  <c r="G14" i="32"/>
  <c r="G20" i="32"/>
  <c r="G21" i="32"/>
  <c r="G22" i="32"/>
  <c r="G28" i="32"/>
  <c r="G29" i="32"/>
  <c r="G30" i="32"/>
  <c r="G36" i="32"/>
  <c r="G37" i="32"/>
  <c r="G38" i="32"/>
  <c r="G44" i="32"/>
  <c r="G45" i="32"/>
  <c r="G46" i="32"/>
  <c r="G52" i="32"/>
  <c r="G53" i="32"/>
  <c r="G54" i="32"/>
  <c r="G60" i="32"/>
  <c r="G61" i="32"/>
  <c r="G62" i="32"/>
  <c r="G68" i="32"/>
  <c r="G69" i="32"/>
  <c r="G70" i="32"/>
  <c r="G76" i="32"/>
  <c r="G77" i="32"/>
  <c r="G78" i="32"/>
  <c r="G84" i="32"/>
  <c r="G85" i="32"/>
  <c r="G89" i="32"/>
  <c r="G93" i="32"/>
  <c r="G96" i="32"/>
  <c r="G97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38" i="32"/>
  <c r="F39" i="32"/>
  <c r="F40" i="32"/>
  <c r="F41" i="32"/>
  <c r="F42" i="32"/>
  <c r="F43" i="32"/>
  <c r="F44" i="32"/>
  <c r="F45" i="32"/>
  <c r="F46" i="32"/>
  <c r="F47" i="32"/>
  <c r="F48" i="32"/>
  <c r="F49" i="32"/>
  <c r="F50" i="32"/>
  <c r="F51" i="32"/>
  <c r="F52" i="32"/>
  <c r="F53" i="32"/>
  <c r="F54" i="32"/>
  <c r="F55" i="32"/>
  <c r="F56" i="32"/>
  <c r="F57" i="32"/>
  <c r="F58" i="32"/>
  <c r="F59" i="32"/>
  <c r="F60" i="32"/>
  <c r="F61" i="32"/>
  <c r="F62" i="32"/>
  <c r="F63" i="32"/>
  <c r="F64" i="32"/>
  <c r="F65" i="32"/>
  <c r="F66" i="32"/>
  <c r="F67" i="32"/>
  <c r="F68" i="32"/>
  <c r="F69" i="32"/>
  <c r="F70" i="32"/>
  <c r="F71" i="32"/>
  <c r="F72" i="32"/>
  <c r="F73" i="32"/>
  <c r="F74" i="32"/>
  <c r="F75" i="32"/>
  <c r="F76" i="32"/>
  <c r="F77" i="32"/>
  <c r="F78" i="32"/>
  <c r="F79" i="32"/>
  <c r="F80" i="32"/>
  <c r="F81" i="32"/>
  <c r="F82" i="32"/>
  <c r="F83" i="32"/>
  <c r="F84" i="32"/>
  <c r="F85" i="32"/>
  <c r="F88" i="32"/>
  <c r="F89" i="32"/>
  <c r="F90" i="32"/>
  <c r="F91" i="32"/>
  <c r="F92" i="32"/>
  <c r="F93" i="32"/>
  <c r="F94" i="32"/>
  <c r="F95" i="32"/>
  <c r="F96" i="32"/>
  <c r="F97" i="32"/>
  <c r="F13" i="32"/>
  <c r="F14" i="32"/>
  <c r="F15" i="32"/>
  <c r="F16" i="32"/>
  <c r="F17" i="32"/>
  <c r="F18" i="32"/>
  <c r="F12" i="32"/>
  <c r="F5" i="32"/>
  <c r="F6" i="32"/>
  <c r="F7" i="32"/>
  <c r="F8" i="32"/>
  <c r="F9" i="32"/>
  <c r="F10" i="32"/>
  <c r="F11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53" i="32"/>
  <c r="E54" i="32"/>
  <c r="E55" i="32"/>
  <c r="E56" i="32"/>
  <c r="E57" i="32"/>
  <c r="E58" i="32"/>
  <c r="E59" i="32"/>
  <c r="E60" i="32"/>
  <c r="E61" i="32"/>
  <c r="E62" i="32"/>
  <c r="E63" i="32"/>
  <c r="E64" i="32"/>
  <c r="E65" i="32"/>
  <c r="E66" i="32"/>
  <c r="E67" i="32"/>
  <c r="E68" i="32"/>
  <c r="E69" i="32"/>
  <c r="E70" i="32"/>
  <c r="E71" i="32"/>
  <c r="E72" i="32"/>
  <c r="E73" i="32"/>
  <c r="E74" i="32"/>
  <c r="E75" i="32"/>
  <c r="E76" i="32"/>
  <c r="E77" i="32"/>
  <c r="E78" i="32"/>
  <c r="E79" i="32"/>
  <c r="E80" i="32"/>
  <c r="E81" i="32"/>
  <c r="E82" i="32"/>
  <c r="E83" i="32"/>
  <c r="E84" i="32"/>
  <c r="E85" i="32"/>
  <c r="E86" i="32"/>
  <c r="E87" i="32"/>
  <c r="E88" i="32"/>
  <c r="E89" i="32"/>
  <c r="E90" i="32"/>
  <c r="E91" i="32"/>
  <c r="E92" i="32"/>
  <c r="E93" i="32"/>
  <c r="E94" i="32"/>
  <c r="E95" i="32"/>
  <c r="E96" i="32"/>
  <c r="E97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2" i="32"/>
  <c r="E5" i="32"/>
  <c r="E6" i="32"/>
  <c r="E7" i="32"/>
  <c r="E8" i="32"/>
  <c r="C9" i="35"/>
  <c r="G5" i="32" s="1"/>
  <c r="C10" i="35"/>
  <c r="C11" i="35"/>
  <c r="G7" i="32" s="1"/>
  <c r="C12" i="35"/>
  <c r="G8" i="32" s="1"/>
  <c r="C13" i="35"/>
  <c r="G9" i="32" s="1"/>
  <c r="C14" i="35"/>
  <c r="G10" i="32" s="1"/>
  <c r="C15" i="35"/>
  <c r="G11" i="32" s="1"/>
  <c r="C16" i="35"/>
  <c r="C17" i="35"/>
  <c r="C18" i="35"/>
  <c r="C19" i="35"/>
  <c r="G15" i="32" s="1"/>
  <c r="C20" i="35"/>
  <c r="G16" i="32" s="1"/>
  <c r="C21" i="35"/>
  <c r="G17" i="32" s="1"/>
  <c r="C22" i="35"/>
  <c r="G18" i="32" s="1"/>
  <c r="C23" i="35"/>
  <c r="G19" i="32" s="1"/>
  <c r="C24" i="35"/>
  <c r="C25" i="35"/>
  <c r="C26" i="35"/>
  <c r="C27" i="35"/>
  <c r="G23" i="32" s="1"/>
  <c r="C28" i="35"/>
  <c r="G24" i="32" s="1"/>
  <c r="C29" i="35"/>
  <c r="G25" i="32" s="1"/>
  <c r="C30" i="35"/>
  <c r="G26" i="32" s="1"/>
  <c r="C31" i="35"/>
  <c r="G27" i="32" s="1"/>
  <c r="C32" i="35"/>
  <c r="C33" i="35"/>
  <c r="C34" i="35"/>
  <c r="C35" i="35"/>
  <c r="G31" i="32" s="1"/>
  <c r="C36" i="35"/>
  <c r="G32" i="32" s="1"/>
  <c r="C37" i="35"/>
  <c r="G33" i="32" s="1"/>
  <c r="C38" i="35"/>
  <c r="G34" i="32" s="1"/>
  <c r="C39" i="35"/>
  <c r="G35" i="32" s="1"/>
  <c r="C40" i="35"/>
  <c r="C41" i="35"/>
  <c r="C42" i="35"/>
  <c r="C43" i="35"/>
  <c r="G39" i="32" s="1"/>
  <c r="C44" i="35"/>
  <c r="G40" i="32" s="1"/>
  <c r="C45" i="35"/>
  <c r="G41" i="32" s="1"/>
  <c r="C46" i="35"/>
  <c r="G42" i="32" s="1"/>
  <c r="C47" i="35"/>
  <c r="G43" i="32" s="1"/>
  <c r="C48" i="35"/>
  <c r="C49" i="35"/>
  <c r="C50" i="35"/>
  <c r="C51" i="35"/>
  <c r="G47" i="32" s="1"/>
  <c r="C52" i="35"/>
  <c r="G48" i="32" s="1"/>
  <c r="C53" i="35"/>
  <c r="G49" i="32" s="1"/>
  <c r="C54" i="35"/>
  <c r="G50" i="32" s="1"/>
  <c r="C55" i="35"/>
  <c r="G51" i="32" s="1"/>
  <c r="C56" i="35"/>
  <c r="C57" i="35"/>
  <c r="C58" i="35"/>
  <c r="C59" i="35"/>
  <c r="G55" i="32" s="1"/>
  <c r="C60" i="35"/>
  <c r="G56" i="32" s="1"/>
  <c r="C61" i="35"/>
  <c r="G57" i="32" s="1"/>
  <c r="C62" i="35"/>
  <c r="G58" i="32" s="1"/>
  <c r="C63" i="35"/>
  <c r="G59" i="32" s="1"/>
  <c r="C64" i="35"/>
  <c r="C65" i="35"/>
  <c r="C66" i="35"/>
  <c r="C67" i="35"/>
  <c r="G63" i="32" s="1"/>
  <c r="C68" i="35"/>
  <c r="G64" i="32" s="1"/>
  <c r="C69" i="35"/>
  <c r="G65" i="32" s="1"/>
  <c r="C70" i="35"/>
  <c r="G66" i="32" s="1"/>
  <c r="C71" i="35"/>
  <c r="G67" i="32" s="1"/>
  <c r="C72" i="35"/>
  <c r="C73" i="35"/>
  <c r="C74" i="35"/>
  <c r="C75" i="35"/>
  <c r="G71" i="32" s="1"/>
  <c r="C76" i="35"/>
  <c r="G72" i="32" s="1"/>
  <c r="C77" i="35"/>
  <c r="G73" i="32" s="1"/>
  <c r="C78" i="35"/>
  <c r="G74" i="32" s="1"/>
  <c r="C79" i="35"/>
  <c r="G75" i="32" s="1"/>
  <c r="C80" i="35"/>
  <c r="C81" i="35"/>
  <c r="C82" i="35"/>
  <c r="C83" i="35"/>
  <c r="G79" i="32" s="1"/>
  <c r="C84" i="35"/>
  <c r="G80" i="32" s="1"/>
  <c r="C85" i="35"/>
  <c r="G81" i="32" s="1"/>
  <c r="C86" i="35"/>
  <c r="G82" i="32" s="1"/>
  <c r="C87" i="35"/>
  <c r="G83" i="32" s="1"/>
  <c r="C88" i="35"/>
  <c r="C89" i="35"/>
  <c r="C90" i="35"/>
  <c r="G86" i="32" s="1"/>
  <c r="C92" i="35"/>
  <c r="G88" i="32" s="1"/>
  <c r="C93" i="35"/>
  <c r="C94" i="35"/>
  <c r="G90" i="32" s="1"/>
  <c r="C95" i="35"/>
  <c r="G91" i="32" s="1"/>
  <c r="C96" i="35"/>
  <c r="G92" i="32" s="1"/>
  <c r="C97" i="35"/>
  <c r="C98" i="35"/>
  <c r="G94" i="32" s="1"/>
  <c r="C99" i="35"/>
  <c r="G95" i="32" s="1"/>
  <c r="C100" i="35"/>
  <c r="C101" i="35"/>
  <c r="J99" i="37" l="1"/>
  <c r="F87" i="32"/>
  <c r="C4" i="37"/>
  <c r="F86" i="32"/>
  <c r="C91" i="35"/>
  <c r="G87" i="32" s="1"/>
  <c r="C4" i="32" s="1"/>
  <c r="C6" i="37" s="1"/>
  <c r="F15" i="33" l="1"/>
  <c r="C8" i="37"/>
  <c r="F16" i="33" s="1"/>
  <c r="F12" i="33"/>
  <c r="F10" i="33" l="1"/>
  <c r="F7" i="33"/>
  <c r="F30" i="33" s="1"/>
  <c r="I7" i="33"/>
  <c r="J7" i="3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Aswath Damodaran</author>
  </authors>
  <commentList>
    <comment ref="C9" authorId="0" shapeId="0" xr:uid="{DB310E25-D6F3-44EF-8D77-1C0F6E985B98}">
      <text>
        <r>
          <rPr>
            <b/>
            <sz val="9"/>
            <color indexed="8"/>
            <rFont val="Geneva"/>
            <family val="2"/>
            <charset val="1"/>
          </rPr>
          <t>Aswath Damodaran:</t>
        </r>
        <r>
          <rPr>
            <sz val="9"/>
            <color indexed="8"/>
            <rFont val="Geneva"/>
            <family val="2"/>
            <charset val="1"/>
          </rPr>
          <t xml:space="preserve">
</t>
        </r>
        <r>
          <rPr>
            <sz val="9"/>
            <color indexed="8"/>
            <rFont val="Geneva"/>
            <family val="2"/>
            <charset val="1"/>
          </rPr>
          <t xml:space="preserve">ST: Short term (Treasury bill)
</t>
        </r>
        <r>
          <rPr>
            <sz val="9"/>
            <color indexed="8"/>
            <rFont val="Geneva"/>
            <family val="2"/>
            <charset val="1"/>
          </rPr>
          <t>LT: Long term (Treasury bond)</t>
        </r>
      </text>
    </comment>
    <comment ref="C10" authorId="0" shapeId="0" xr:uid="{9E475AB7-7676-47A2-B8B0-CE12D4DAB036}">
      <text>
        <r>
          <rPr>
            <b/>
            <sz val="9"/>
            <color indexed="8"/>
            <rFont val="Geneva"/>
            <family val="2"/>
            <charset val="1"/>
          </rPr>
          <t>Aswath Damodaran:</t>
        </r>
        <r>
          <rPr>
            <sz val="9"/>
            <color indexed="8"/>
            <rFont val="Geneva"/>
            <family val="2"/>
            <charset val="1"/>
          </rPr>
          <t xml:space="preserve">
</t>
        </r>
        <r>
          <rPr>
            <sz val="9"/>
            <color indexed="8"/>
            <rFont val="Geneva"/>
            <family val="2"/>
            <charset val="1"/>
          </rPr>
          <t>The risk premium will be computed from this year to the current year.</t>
        </r>
      </text>
    </comment>
  </commentList>
</comments>
</file>

<file path=xl/sharedStrings.xml><?xml version="1.0" encoding="utf-8"?>
<sst xmlns="http://schemas.openxmlformats.org/spreadsheetml/2006/main" count="1198" uniqueCount="441">
  <si>
    <t>Return on bond</t>
  </si>
  <si>
    <t>T.Bond rate</t>
  </si>
  <si>
    <t>Year</t>
  </si>
  <si>
    <t>The return on the 10-year bond for 1928 = 3.17% (Coupon rate promised at the end of 1927) - Price change on a bond with a coupon rate of 3.17%, when the interest rate goes to 3.45%.</t>
    <phoneticPr fontId="0" type="noConversion"/>
  </si>
  <si>
    <t>Computation</t>
    <phoneticPr fontId="0" type="noConversion"/>
  </si>
  <si>
    <t>Federal Reserve of St. Louis (FRED)</t>
  </si>
  <si>
    <t>Source:</t>
    <phoneticPr fontId="0" type="noConversion"/>
  </si>
  <si>
    <t>US treasury 10-year bond at end of each year</t>
    <phoneticPr fontId="0" type="noConversion"/>
  </si>
  <si>
    <t xml:space="preserve">Bond used: </t>
    <phoneticPr fontId="0" type="noConversion"/>
  </si>
  <si>
    <t>To compute the return on a constant maturity bond, I add two components - the promised coupon at the start of the year and the price change due to interest rate changes.</t>
  </si>
  <si>
    <t>Tomado de http://www.stern.nyu.edu/~adamodar/pc/datasets/histretSP.xls  hoja T. Bond yield &amp; return el 210310</t>
  </si>
  <si>
    <t>Año</t>
  </si>
  <si>
    <t>Interés del bono a 10 años</t>
  </si>
  <si>
    <t>n.a.</t>
  </si>
  <si>
    <t>Costo de capital para los servicios aeroportuarios</t>
  </si>
  <si>
    <t>Índice</t>
  </si>
  <si>
    <t>Rentabilidad del bono a 10 años</t>
  </si>
  <si>
    <t>S&amp;P 500</t>
  </si>
  <si>
    <t>Dividends</t>
  </si>
  <si>
    <t>Dividend Yield</t>
  </si>
  <si>
    <t>Aaa Bond Rate</t>
  </si>
  <si>
    <t xml:space="preserve">Return on Aaa </t>
  </si>
  <si>
    <t>Baa Bond Rate</t>
  </si>
  <si>
    <t xml:space="preserve">Return on Baa </t>
  </si>
  <si>
    <t>Returns on Real Estate</t>
  </si>
  <si>
    <t>Jan 1 notes</t>
  </si>
  <si>
    <t>Used indicated dividend</t>
  </si>
  <si>
    <t>Índice S&amp;P 500</t>
  </si>
  <si>
    <t>Índice Dividendos S&amp;P 500</t>
  </si>
  <si>
    <t>Rentabilidad S&amp;P 500</t>
  </si>
  <si>
    <t>Date updated:</t>
  </si>
  <si>
    <t>Created by:</t>
  </si>
  <si>
    <t>Aswath Damodaran, adamodar@stern.nyu.edu</t>
  </si>
  <si>
    <t>What is this data?</t>
  </si>
  <si>
    <t>Historical returns: Stocks, Bonds &amp; T.Bills with premiums</t>
  </si>
  <si>
    <t>US companies</t>
  </si>
  <si>
    <t>Home Page:</t>
  </si>
  <si>
    <t>http://www.damodaran.com</t>
  </si>
  <si>
    <t>Data website:</t>
  </si>
  <si>
    <t>http://www.stern.nyu.edu/~adamodar/New_Home_Page/data.html</t>
  </si>
  <si>
    <t>Companies in each industry:</t>
  </si>
  <si>
    <t>http://www.stern.nyu.edu/~adamodar/pc/datasets/indname.xls</t>
  </si>
  <si>
    <t>Variable definitions:</t>
  </si>
  <si>
    <t>http://www.stern.nyu.edu/~adamodar/New_Home_Page/datafile/variable.htm</t>
  </si>
  <si>
    <t>Customized Geometric risk premium estimator</t>
  </si>
  <si>
    <t>What is your riskfree rate?</t>
  </si>
  <si>
    <t>LT</t>
    <phoneticPr fontId="12" type="noConversion"/>
  </si>
  <si>
    <t>Estimates of risk premiums from 1928, over the last 50 years and over the last 10 years</t>
  </si>
  <si>
    <t>Enter your starting year</t>
  </si>
  <si>
    <t>are provided at the bottom of this table.</t>
  </si>
  <si>
    <t>Value of stocks in starting year:</t>
  </si>
  <si>
    <t>Value of T.Bills in starting year:</t>
    <phoneticPr fontId="12" type="noConversion"/>
  </si>
  <si>
    <t>Value of T.bonds in starting year:</t>
  </si>
  <si>
    <t>Estimate of risk premium based on your inputs:</t>
  </si>
  <si>
    <t>Annual Returns on Investments in</t>
  </si>
  <si>
    <t>Value of $100 invested at start of 1928 in</t>
  </si>
  <si>
    <t>Annual Risk Premium</t>
  </si>
  <si>
    <t>Annual Real Returns on</t>
  </si>
  <si>
    <t>S&amp;P 500 (includes dividends)</t>
  </si>
  <si>
    <t>3-month T.Bill</t>
  </si>
  <si>
    <t>US T. Bond</t>
  </si>
  <si>
    <t xml:space="preserve"> Baa Corporate Bond</t>
  </si>
  <si>
    <t>S&amp;P 500 (includes dividends)3</t>
  </si>
  <si>
    <t>3-month T.Bill4</t>
  </si>
  <si>
    <t>US T. Bond5</t>
  </si>
  <si>
    <t xml:space="preserve"> Baa Corporate Bond6</t>
  </si>
  <si>
    <t>Stocks - Bills</t>
    <phoneticPr fontId="12" type="noConversion"/>
  </si>
  <si>
    <t>Stocks - Bonds</t>
    <phoneticPr fontId="12" type="noConversion"/>
  </si>
  <si>
    <t>Stocks - Baa Corp Bond</t>
  </si>
  <si>
    <t>Historical risk premium</t>
  </si>
  <si>
    <t>Inflation Rate</t>
  </si>
  <si>
    <t>S&amp;P 500 (includes dividends)2</t>
  </si>
  <si>
    <t>3-month T. Bill (Real)</t>
  </si>
  <si>
    <t>!0-year T.Bonds</t>
  </si>
  <si>
    <t>Baa Corp Bonds</t>
  </si>
  <si>
    <t>Risk Premium</t>
  </si>
  <si>
    <t>Standard Error</t>
    <phoneticPr fontId="12" type="noConversion"/>
  </si>
  <si>
    <t>Arithmetic Average Historical Return</t>
  </si>
  <si>
    <t>Stocks - T.Bills</t>
  </si>
  <si>
    <t>Stocks - T.Bonds</t>
  </si>
  <si>
    <t>Arithmetic Average Annual Real Return</t>
  </si>
  <si>
    <t>1928-2020</t>
  </si>
  <si>
    <t>1971-2020</t>
  </si>
  <si>
    <t>2011-2020</t>
  </si>
  <si>
    <t>Geometric Average Historical Return</t>
  </si>
  <si>
    <t>Rentabilidad esperada del activo libre de riesgo</t>
  </si>
  <si>
    <t>Rentabilidad esperada del mercado</t>
  </si>
  <si>
    <t>Tasa libre de riesgo (T-Bond; 1928-2020)</t>
  </si>
  <si>
    <t>Rentabilidad del mercado (S&amp;P 500; 1928-2020)</t>
  </si>
  <si>
    <t>Prima por riesgo de mercado</t>
  </si>
  <si>
    <t>Prima esperada por riesgo de mercado</t>
  </si>
  <si>
    <t>Prima por riesgo país</t>
  </si>
  <si>
    <t>http://www.bcrp.gob.pe/docs/Estadisticas/Cuadros-Estadisticos/cuadro-035.xlsx</t>
  </si>
  <si>
    <t xml:space="preserve">CUADRO 35   INDICADORES DE RIESGO PARA PAÍSES EMERGENTES: Indice de Bonos de Mercados Emergentes (EMBIG) 1/ 2/ 3/ </t>
  </si>
  <si>
    <t xml:space="preserve">                     RISK INDICATORS FOR EMERGING COUNTRIES: Emerging Market Bond Index (EMBIG)   1/    Stripped Spread     2/   (In basis points)       3/</t>
  </si>
  <si>
    <r>
      <t xml:space="preserve">Diferencial de rendimientos del índice de bonos de mercados emergentes (EMBIG) / </t>
    </r>
    <r>
      <rPr>
        <i/>
        <sz val="10"/>
        <rFont val="Arial"/>
        <family val="2"/>
      </rPr>
      <t>Emerging Market Bond Index (EMBIG) Stripped Spread</t>
    </r>
  </si>
  <si>
    <t>LATIN EMBIG Países Latinoamericanos / Latin Countries</t>
  </si>
  <si>
    <t>EMBIG Países Emergentes / Emerging Countries</t>
  </si>
  <si>
    <t xml:space="preserve">Perú  </t>
  </si>
  <si>
    <t>Argentina</t>
  </si>
  <si>
    <t>Brasil</t>
  </si>
  <si>
    <t>Chile</t>
  </si>
  <si>
    <t>Colombia</t>
  </si>
  <si>
    <t>Ecuador</t>
  </si>
  <si>
    <t>México</t>
  </si>
  <si>
    <t>Venezuela</t>
  </si>
  <si>
    <t>Ene.</t>
  </si>
  <si>
    <t>Jan.</t>
  </si>
  <si>
    <t>Feb.</t>
  </si>
  <si>
    <t>Mar.</t>
  </si>
  <si>
    <t>Abr.</t>
  </si>
  <si>
    <t>Apr.</t>
  </si>
  <si>
    <t>May.</t>
  </si>
  <si>
    <t>Jun.</t>
  </si>
  <si>
    <t>Jul.</t>
  </si>
  <si>
    <t>Ago.</t>
  </si>
  <si>
    <t>Aug.</t>
  </si>
  <si>
    <t>Set.</t>
  </si>
  <si>
    <t>Sep.</t>
  </si>
  <si>
    <t>Oct.</t>
  </si>
  <si>
    <t>Nov.</t>
  </si>
  <si>
    <t>Dic.</t>
  </si>
  <si>
    <t>Dec.</t>
  </si>
  <si>
    <t>Mar 1-2</t>
  </si>
  <si>
    <t>Nota: Var.</t>
  </si>
  <si>
    <t>Note: bp chg.</t>
  </si>
  <si>
    <t>Anual</t>
  </si>
  <si>
    <t>Year-to-Year</t>
  </si>
  <si>
    <t>Acumulado</t>
  </si>
  <si>
    <t>Cumulative</t>
  </si>
  <si>
    <t>Mensual</t>
  </si>
  <si>
    <t>Monthly</t>
  </si>
  <si>
    <t>1/ La información de este cuadro se ha actualizado en la Nota Semanal N° 9 (04 de marzo de 2021). Corresponde a datos promedio del período.</t>
  </si>
  <si>
    <t>2/ Índice elaborado por el J.P. Morgan que refleja los retornos del portafolio de deuda según sea el caso, es decir, de cada país, de los países latinoamericanos y de los países</t>
  </si>
  <si>
    <t xml:space="preserve">     emergentes en  conjunto. Considera como deuda, eurobonos, bonos Brady y en menor medida deudas locales y préstamos. Estos indicadores son promedio para cada período y su </t>
  </si>
  <si>
    <t xml:space="preserve">     disminución se asocia con una reducción del riesgo país percibido por los inversionistas. Se mide en puntos básicos y corresponde al diferencial de rendimientos con respecto al </t>
  </si>
  <si>
    <t xml:space="preserve">     bono del Tesoro de EUA de similar duración de la deuda en cuestión.</t>
  </si>
  <si>
    <t>3/ Cien puntos básicos equivalen a uno porcentual.</t>
  </si>
  <si>
    <t xml:space="preserve"> </t>
  </si>
  <si>
    <t xml:space="preserve"> Fuente: Reuters.</t>
  </si>
  <si>
    <t xml:space="preserve"> Elaboración: Gerencia Central de Estudios Económicos.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</si>
  <si>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</si>
  <si>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</si>
  <si>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</si>
  <si>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</si>
  <si>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</si>
  <si>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</si>
  <si>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</si>
  <si>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</si>
  <si>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</si>
  <si>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</si>
  <si>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</si>
  <si>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</si>
  <si>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</si>
  <si>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Indice de Bonos de Mercados Emergentes (EMBIG) Perú</t>
  </si>
  <si>
    <t>EMBIG Perú (2019-2020)</t>
  </si>
  <si>
    <t>Pais</t>
  </si>
  <si>
    <t>Empresa</t>
  </si>
  <si>
    <t>NATS (En-Route) plc (NERL)</t>
  </si>
  <si>
    <t>Reino Unido</t>
  </si>
  <si>
    <t>NATS (Services) Limited (NSL)</t>
  </si>
  <si>
    <t>Alemania</t>
  </si>
  <si>
    <t>Deutsche Flugsicherung (DFS)</t>
  </si>
  <si>
    <t>España</t>
  </si>
  <si>
    <t>Aena</t>
  </si>
  <si>
    <t>Suecia</t>
  </si>
  <si>
    <r>
      <t>Luftfartsverket (</t>
    </r>
    <r>
      <rPr>
        <b/>
        <sz val="12"/>
        <color rgb="FF202124"/>
        <rFont val="Arial"/>
        <family val="2"/>
      </rPr>
      <t>LFV</t>
    </r>
    <r>
      <rPr>
        <sz val="12"/>
        <color rgb="FF202124"/>
        <rFont val="Arial"/>
        <family val="2"/>
      </rPr>
      <t>)</t>
    </r>
  </si>
  <si>
    <t>Hungría</t>
  </si>
  <si>
    <t>HungaroControl</t>
  </si>
  <si>
    <t>Noruega</t>
  </si>
  <si>
    <t>Avinor</t>
  </si>
  <si>
    <t>Polonia</t>
  </si>
  <si>
    <t>Polish Air Navigation Services Agency (PANSA) </t>
  </si>
  <si>
    <t>Columna1</t>
  </si>
  <si>
    <t>Empresas públicas/mixtas de servicios de aeronavegacion</t>
  </si>
  <si>
    <t>Beta observado</t>
  </si>
  <si>
    <t>Beta del activo</t>
  </si>
  <si>
    <t>Tasa impositiva</t>
  </si>
  <si>
    <t>Fuente</t>
  </si>
  <si>
    <t>SWISS ECONOMICS Betas for French airports based on empirical and regulatory evidence</t>
  </si>
  <si>
    <t>AENA</t>
  </si>
  <si>
    <t>Aeropuertos de París</t>
  </si>
  <si>
    <t>Aeropuerto de Copenhague</t>
  </si>
  <si>
    <t>Apalancamiento [D/E]</t>
  </si>
  <si>
    <t>Apalancamiento D/D+E</t>
  </si>
  <si>
    <t>SWISS ECONOMICS Cost of Capital for 2019 Determination Final Report v1.40 redacted</t>
  </si>
  <si>
    <t>Aeropuerto de Zurich</t>
  </si>
  <si>
    <t>Aeropuerto de Frankfurt</t>
  </si>
  <si>
    <t>Aeropuerto de Auckland</t>
  </si>
  <si>
    <t>Aeropuertos de Sidney</t>
  </si>
  <si>
    <t xml:space="preserve">TAV (Turquía) </t>
  </si>
  <si>
    <t>Aeropuerto de Viena</t>
  </si>
  <si>
    <t>n.d.</t>
  </si>
  <si>
    <t>Bloomberg</t>
  </si>
  <si>
    <t>Aeropuerto de Haneda (Tokio)</t>
  </si>
  <si>
    <t>Vinci</t>
  </si>
  <si>
    <t>STEER DAVIS Study on Cost of Capital, Return on Equity and Pension Costs of Air Navigation Service Providers</t>
  </si>
  <si>
    <t>Macquarie Airports</t>
  </si>
  <si>
    <t>Aeropuertos noruegos</t>
  </si>
  <si>
    <t>Aeropuertos irlandeses</t>
  </si>
  <si>
    <t>Beta de Corpac</t>
  </si>
  <si>
    <t>Beta de los activos aeroportuarios</t>
  </si>
  <si>
    <t>Tipo impositivo efectivo</t>
  </si>
  <si>
    <t>Apalancamiento [D/(D+E)]</t>
  </si>
  <si>
    <t>Tipo del impuesto a la renta</t>
  </si>
  <si>
    <t>ESF_02-2021</t>
  </si>
  <si>
    <t>Pasivo no corriente</t>
  </si>
  <si>
    <t>Patrimonio</t>
  </si>
  <si>
    <t>Ratio Deuda Capital Propio</t>
  </si>
  <si>
    <t>Prestamo</t>
  </si>
  <si>
    <t>Intereses</t>
  </si>
  <si>
    <t>Devolucion</t>
  </si>
  <si>
    <t>Flujo</t>
  </si>
  <si>
    <t>tir mensual</t>
  </si>
  <si>
    <t>tir anual</t>
  </si>
  <si>
    <t>van</t>
  </si>
  <si>
    <t>--</t>
  </si>
  <si>
    <t>ESF_02-2022 y estructura de financiamiento</t>
  </si>
  <si>
    <t>Flujo de Fondos 31.12.2020 - REVISADO</t>
  </si>
  <si>
    <t>FONDO NACIONAL DE FINANCIAMIENTO DE LA</t>
  </si>
  <si>
    <t>FORMATO 2P</t>
  </si>
  <si>
    <t>ACTIVIDAD EMPRESARIAL DEL ESTADO</t>
  </si>
  <si>
    <t>CORPORACION PERUANA DE AEROPUERTOS Y AVIACION COMERCIAL S.A.</t>
  </si>
  <si>
    <t>FONAFE</t>
  </si>
  <si>
    <t>PRESUPUESTO EJERCICIO 2021</t>
  </si>
  <si>
    <t>ESTADO DE SITUACION FINANCIERA   (para Empresas no Financieras)</t>
  </si>
  <si>
    <t>En Soles</t>
  </si>
  <si>
    <t>RUBROS</t>
  </si>
  <si>
    <t>Al 31/12/2018</t>
  </si>
  <si>
    <t>Al 31/12/2019</t>
  </si>
  <si>
    <t>Al 31/12/2020</t>
  </si>
  <si>
    <t>PROYECCIÓN AÑO 2021</t>
  </si>
  <si>
    <t>Al 31/12/2022</t>
  </si>
  <si>
    <t>Al 31/12/2023</t>
  </si>
  <si>
    <t>Al 31/12/2024</t>
  </si>
  <si>
    <t>(REAL)</t>
  </si>
  <si>
    <t>(PROYECTO)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</si>
  <si>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</si>
  <si>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</si>
  <si>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</si>
  <si>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</si>
  <si>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</si>
  <si>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</si>
  <si>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</si>
  <si>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</si>
  <si>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</si>
  <si>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</si>
  <si>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</si>
  <si>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</si>
  <si>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(PROYECTADO)</t>
  </si>
  <si>
    <t>ACTIVO</t>
  </si>
  <si>
    <t>ACTIVO CORRIENTE</t>
  </si>
  <si>
    <t>Efectivo y Equivalentes al Efectivo</t>
  </si>
  <si>
    <t>Inversiones Financieras</t>
  </si>
  <si>
    <t>Cuentas por Cobrar Comerciales (Neto)</t>
  </si>
  <si>
    <t>Otras Cuentas por Cobrar (Neto)</t>
  </si>
  <si>
    <t>Cuentas por Cobrar a Entidades Relacionadas</t>
  </si>
  <si>
    <t>Inventarios (Neto)</t>
  </si>
  <si>
    <t>Activos Biológicos</t>
  </si>
  <si>
    <t>Activos No Corrientes Mantenidos para la Venta</t>
  </si>
  <si>
    <t>Activos por Impuestos a las Ganancias</t>
  </si>
  <si>
    <t>Gastos Pagados por Anticipado</t>
  </si>
  <si>
    <t>Otros Activos</t>
  </si>
  <si>
    <t>TOTAL ACTIVO CORRIENTE</t>
  </si>
  <si>
    <t>ACTIVO NO CORRIENTE</t>
  </si>
  <si>
    <t>Cuentas por Cobrar Comerciales</t>
  </si>
  <si>
    <t>Otras Cuentas por Cobrar</t>
  </si>
  <si>
    <t>Inversiones Mobiliarias (Neto)</t>
  </si>
  <si>
    <t>Propiedades de Inversión</t>
  </si>
  <si>
    <t>Propiedades, Planta y Equipo (Neto)</t>
  </si>
  <si>
    <t xml:space="preserve"> Activos Intangibles (Neto)</t>
  </si>
  <si>
    <t>Activos por Impuestos a las Ganancias Diferidos</t>
  </si>
  <si>
    <t>TOTAL ACTIVO NO CORRIENTE</t>
  </si>
  <si>
    <t>TOTAL  ACTIVO</t>
  </si>
  <si>
    <t>Cuentas de Orden</t>
  </si>
  <si>
    <t>PASIVO Y PATRIMONIO</t>
  </si>
  <si>
    <t>PASIVO CORRIENTE</t>
  </si>
  <si>
    <t>Sobregiro Bancarios</t>
  </si>
  <si>
    <t>Obligaciones Financieras</t>
  </si>
  <si>
    <t>Cuentas por Pagar Comerciales</t>
  </si>
  <si>
    <t>Otras Cuentas por Pagar</t>
  </si>
  <si>
    <t>Cuentas por Pagar a Entidades Relacionadas</t>
  </si>
  <si>
    <t>Provisiones</t>
  </si>
  <si>
    <t>Pasivos Mantenidos para la Venta</t>
  </si>
  <si>
    <t>Pasivos por Impuestos a las Ganancias</t>
  </si>
  <si>
    <t>Beneficios a los Empleados</t>
  </si>
  <si>
    <t>Otros Pasivos</t>
  </si>
  <si>
    <t>TOTAL PASIVO CORRIENTE</t>
  </si>
  <si>
    <t>PASIVO NO CORRIENTE</t>
  </si>
  <si>
    <t xml:space="preserve">Cuentas Pagar Comerciales </t>
  </si>
  <si>
    <t>Pasivo por Impuestos a las Ganancias Diferidos</t>
  </si>
  <si>
    <t>Ingresos Diferidos (Neto)</t>
  </si>
  <si>
    <t>TOTAL PASIVO NO CORRIENTE</t>
  </si>
  <si>
    <t>TOTAL  PASIVO</t>
  </si>
  <si>
    <t>PATRIMONIO</t>
  </si>
  <si>
    <t xml:space="preserve">Capital </t>
  </si>
  <si>
    <t>Acciones de Inversión</t>
  </si>
  <si>
    <t>Capital Adicional</t>
  </si>
  <si>
    <t>Resultado no Realizados</t>
  </si>
  <si>
    <t>Reservas Legales</t>
  </si>
  <si>
    <t>Otras Reservas</t>
  </si>
  <si>
    <t>Resultados Acumulados</t>
  </si>
  <si>
    <t>Otras Reservas de Patrimonio</t>
  </si>
  <si>
    <t>TOTAL  PATRIMONIO</t>
  </si>
  <si>
    <t>TOTAL  PASIVO Y PATRIMONIO</t>
  </si>
  <si>
    <t>D/E</t>
  </si>
  <si>
    <t>E</t>
  </si>
  <si>
    <t>D (corriente y no corriente)</t>
  </si>
  <si>
    <t>D (no corriente)</t>
  </si>
  <si>
    <t>(Dc+Dnc)/E</t>
  </si>
  <si>
    <t>Dnc/E</t>
  </si>
  <si>
    <t>promedio</t>
  </si>
  <si>
    <t>Pasivo corriente</t>
  </si>
  <si>
    <t xml:space="preserve"> [Dnc/E]</t>
  </si>
  <si>
    <t xml:space="preserve"> [Dc+Dnc/E]</t>
  </si>
  <si>
    <t xml:space="preserve"> [(Dc+Dnc)/(Dc+Dnc+E)]</t>
  </si>
  <si>
    <t xml:space="preserve"> [E/(Dc+Dnc+E)]</t>
  </si>
  <si>
    <t xml:space="preserve"> [Dnc/(Dnc+E)]</t>
  </si>
  <si>
    <t xml:space="preserve"> [E/(Dnc+E)]</t>
  </si>
  <si>
    <t>FORMATO N° 3P</t>
  </si>
  <si>
    <t>ESTADO DE RESULTADOS INTEGRALES (para Empresas no Financieras)</t>
  </si>
  <si>
    <t>INGRESOS DE ACTIVIDADES ORDINARIAS</t>
  </si>
  <si>
    <t>Ventas Netas de Bienes</t>
  </si>
  <si>
    <t>Prestación de Servicios</t>
  </si>
  <si>
    <t>TOTAL DE INGRESOS DE ACTIVIDADES ORDINARIAS</t>
  </si>
  <si>
    <t>Costo de Ventas</t>
  </si>
  <si>
    <t>GANANCIAS (PÉRDIDA BRUTA)</t>
  </si>
  <si>
    <t>Gastos de Ventas y Distribución</t>
  </si>
  <si>
    <t>Gastos de Administración</t>
  </si>
  <si>
    <t>Ganancia (Pérdida) de la baja en Activos Financieros medidos al Costo Amortizado</t>
  </si>
  <si>
    <t>Otros Ingresos Operativos</t>
  </si>
  <si>
    <t>Otros Gastos Operativos</t>
  </si>
  <si>
    <t>GANANCIA (PÉRDIDA) OPERATIVA</t>
  </si>
  <si>
    <t>Ingresos Financieros</t>
  </si>
  <si>
    <t>Diferencia de Cambio (Ganancias)</t>
  </si>
  <si>
    <t>Gastos Financieros</t>
  </si>
  <si>
    <t>Diferencia de Cambio (Pérdidas)</t>
  </si>
  <si>
    <t>Participación en los Resultados Netos de Asociadas y Negocios Conjuntos Contabilizados por el Método de la Participación</t>
  </si>
  <si>
    <t>Ganancia (Pérdida) que surgen de la Diferencia entre el Valor Libro Anterior y el Valor Justo de Activos Financieros Reclasificados Medidos a Valor Razonable</t>
  </si>
  <si>
    <t>RESULTADO ANTES DEL IMPUESTO A LAS GANANCIAS</t>
  </si>
  <si>
    <t>Gasto por Impuesto a las Ganancias</t>
  </si>
  <si>
    <t>GANANCIA (PÉRDIDA) NETA DE OPERACIONES CONTINUADAS</t>
  </si>
  <si>
    <t>Ganancia (Pérdida) Neta de Impuesto a las Ganancias Procedente de Operaciones Discontinuas</t>
  </si>
  <si>
    <t>GANANCIA (PÉRDIDA) NETA DEL EJERCICIO</t>
  </si>
  <si>
    <t>COMPONENTES DE OTRO RESULTADO INTEGRAL:</t>
  </si>
  <si>
    <t>Ganancias (Pérdidas) Neta por Activos Financieros Disponibles para la Venta</t>
  </si>
  <si>
    <t>Ganancias (Pérdidas) de Inversiones en Instrumentos de Patrimonio</t>
  </si>
  <si>
    <t>Otros Componentes de Resultado Integral</t>
  </si>
  <si>
    <t>OTRO RESULTADO INTEGRAL ANTES DE IMPUESTOS</t>
  </si>
  <si>
    <t>IMPUESTO A LAS GANANCIAS RELACIONADO CON COMPONENTES DE OTRO RESULTADO INTEGRAL</t>
  </si>
  <si>
    <t>Ganancias Netas por Activos Financieros Disponibles para la Venta</t>
  </si>
  <si>
    <t>Ganancias de Inversiones por Instrumentos de Patrimonio</t>
  </si>
  <si>
    <t>SUMA DE COMPONENTES DE OTRO RESULTADO INTEGRAL CON IMPUESTO A LAS GANANCIAS RELACIONADOS</t>
  </si>
  <si>
    <t>Otros resultados Integrales</t>
  </si>
  <si>
    <t>RESULTADO INTEGRAL TOTAL DEL EJERCICIO, NETO DEL IMPUESTO A LA RENTA</t>
  </si>
  <si>
    <t>Depreciación:</t>
  </si>
  <si>
    <t>Amortización:</t>
  </si>
  <si>
    <t>GASTOS FINANCIEROS</t>
  </si>
  <si>
    <t>Interes sobre D (corriente y no corriente)</t>
  </si>
  <si>
    <t>Interes sobre D ( no corriente)</t>
  </si>
  <si>
    <t>FuenteDE B. ESF Presup (P)</t>
  </si>
  <si>
    <t>Costo de deuda</t>
  </si>
  <si>
    <t>Nota</t>
  </si>
  <si>
    <t>Promedio de gastos financieros sobre deuda corriente y no corriente 2021-2024</t>
  </si>
  <si>
    <t>TIRPrestamoACorto</t>
  </si>
  <si>
    <t>TIR prestamo 100 millones de soles</t>
  </si>
  <si>
    <t>TASA DE INTERÉS PROMEDIO DEL SISTEMA BANCARIO</t>
  </si>
  <si>
    <t>Tasas Activas Anuales de las Operaciones en Moneda Nacional Realizadas en los Últimos 30 Días Útiles Por Tipo de Crédito al 12/03/2021</t>
  </si>
  <si>
    <t>Tasa Anual (%)</t>
  </si>
  <si>
    <t>BBVA</t>
  </si>
  <si>
    <t>Comercio</t>
  </si>
  <si>
    <t>Crédito</t>
  </si>
  <si>
    <t>Pichincha</t>
  </si>
  <si>
    <t>BIF</t>
  </si>
  <si>
    <t>Scotiabank</t>
  </si>
  <si>
    <t>Citibank</t>
  </si>
  <si>
    <t>Interbank</t>
  </si>
  <si>
    <t>Mibanco</t>
  </si>
  <si>
    <t>GNB</t>
  </si>
  <si>
    <t>Falabella</t>
  </si>
  <si>
    <t>Santander</t>
  </si>
  <si>
    <t>Ripley</t>
  </si>
  <si>
    <t>Azteca</t>
  </si>
  <si>
    <t>ICBC</t>
  </si>
  <si>
    <t>Bank of China</t>
  </si>
  <si>
    <t>Promedio</t>
  </si>
  <si>
    <t xml:space="preserve">         Corporativos</t>
  </si>
  <si>
    <t>-</t>
  </si>
  <si>
    <t>s.i.</t>
  </si>
  <si>
    <t xml:space="preserve">     Descuentos</t>
  </si>
  <si>
    <t xml:space="preserve">     Préstamos hasta 30 días</t>
  </si>
  <si>
    <t xml:space="preserve">     Préstamos de 31 a 90 días</t>
  </si>
  <si>
    <t xml:space="preserve">     Préstamos de 91 a 180 días</t>
  </si>
  <si>
    <t xml:space="preserve">     Préstamos de 181 a 360 días</t>
  </si>
  <si>
    <t xml:space="preserve">     Préstamos a más de 360 días</t>
  </si>
  <si>
    <t xml:space="preserve">         Grandes Empresas</t>
  </si>
  <si>
    <t xml:space="preserve">         Medianas Empresas</t>
  </si>
  <si>
    <t xml:space="preserve">         Pequeñas Empresas</t>
  </si>
  <si>
    <t xml:space="preserve">         Microempresas</t>
  </si>
  <si>
    <t xml:space="preserve">     Tarjetas de Crédito</t>
  </si>
  <si>
    <t xml:space="preserve">     Préstamos Revolventes</t>
  </si>
  <si>
    <t xml:space="preserve">     Préstamos a cuota fija hasta 30 días</t>
  </si>
  <si>
    <t xml:space="preserve">     Préstamos  a cuota fija de 31 a 90 días</t>
  </si>
  <si>
    <t xml:space="preserve">     Préstamos  a cuota fija de 91 a 180 días</t>
  </si>
  <si>
    <t xml:space="preserve">     Préstamos a cuota fija de 181 a 360 días</t>
  </si>
  <si>
    <t xml:space="preserve">     Préstamos a cuota fija a más de 360 días</t>
  </si>
  <si>
    <t xml:space="preserve">          Consumo</t>
  </si>
  <si>
    <t xml:space="preserve">     Préstamos no  Revolventes para automóviles</t>
  </si>
  <si>
    <t xml:space="preserve">     Préstamos no  Revolventes para libre disponibilidad hasta 360 días</t>
  </si>
  <si>
    <t xml:space="preserve">     Préstamos no  Revolventes para libre disponibilidad a más de 360 días</t>
  </si>
  <si>
    <t xml:space="preserve">     Créditos pignoraticios</t>
  </si>
  <si>
    <t xml:space="preserve">         Hipotecarios</t>
  </si>
  <si>
    <t xml:space="preserve">     Préstamos hipotecarios para vivienda</t>
  </si>
  <si>
    <t>Nota: Cuadro elaborado sobre la base de la información remitida diariamente por las Empresas Bancarias a través del Reporte N°6. Las tasas de interés tienen carácter referencial. Las definiciones de los tipos de crédito se encuentran en el Reglamento para la Evaluación y Clasificación del Deudor y la Exigencia de Provisiones, aprobado mediante Resolución SBS N° 11356-2008 (Ver definiciones).</t>
  </si>
  <si>
    <t>https://www.sbs.gob.pe/app/pp/EstadisticasSAEEPortal/Paginas/TIActivaTipoCreditoEmpresa.aspx?tip=B</t>
  </si>
  <si>
    <t>FuenteReporteTasaActiva BCRP</t>
  </si>
  <si>
    <t>Reporte BCRP</t>
  </si>
  <si>
    <t>grupo 3 Swiss Economics</t>
  </si>
  <si>
    <t>Apalancamiento [D/D+E]</t>
  </si>
  <si>
    <t>Apalancamiento [E/D+E]</t>
  </si>
  <si>
    <t>Parámetros macroeconómicos</t>
  </si>
  <si>
    <t>PEN/USD</t>
  </si>
  <si>
    <t>Tipo de cambio real</t>
  </si>
  <si>
    <t>MEF MMM_2021_2024</t>
  </si>
  <si>
    <t>Tipo de cambio nominal</t>
  </si>
  <si>
    <t>Inflación  EE.UU.</t>
  </si>
  <si>
    <t>Inflación  Perú</t>
  </si>
  <si>
    <t>Ratio</t>
  </si>
  <si>
    <t>https://www.statista.com/statistics/244993/projected-consumer-price-index-in-the-united-states/#:~:text=In%202020%2C%20the%20annual%20Consumer,projected%20to%20be%202.44%20percent.&amp;text=According%20to%20data%20published%20by,period%20of%201982%20to%201984.</t>
  </si>
  <si>
    <t>Índice CPI</t>
  </si>
  <si>
    <t>USD/PEN</t>
  </si>
  <si>
    <t xml:space="preserve">Variacion </t>
  </si>
  <si>
    <t>Variacion tipo de cambio nominal promedio 2021-2024</t>
  </si>
  <si>
    <t>Costo de la deuda nominal en dólares</t>
  </si>
  <si>
    <t>Costo de la deuda en dólares</t>
  </si>
  <si>
    <t>Costo promedio ponderado de capital (WACC) dólares nominales</t>
  </si>
  <si>
    <t>Costo del Capital Propio en dólares nominales</t>
  </si>
  <si>
    <t>Costo efectivo de la deuda en dólares nominales</t>
  </si>
  <si>
    <t>Participación de los trabajadores</t>
  </si>
  <si>
    <t>Costo promedio ponderado de capital (WACC) dólares reales</t>
  </si>
  <si>
    <t>Inflación anual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</si>
</sst>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 * #,##0_ ;_ * \-#,##0_ ;_ * &quot;-&quot;??_ ;_ @_ "/>
    <numFmt numFmtId="165" formatCode="_(&quot;$&quot;* #,##0.00_);_(&quot;$&quot;* \(#,##0.00\);_(&quot;$&quot;* &quot;-&quot;??_);_(@_)"/>
    <numFmt numFmtId="166" formatCode="0.000"/>
    <numFmt numFmtId="167" formatCode="0.00000000%"/>
    <numFmt numFmtId="168" formatCode="#,##0.000"/>
    <numFmt numFmtId="169" formatCode="0.0000%"/>
    <numFmt numFmtId="170" formatCode="0.000000000%"/>
    <numFmt numFmtId="171" formatCode="#,##0_ ;\-#,##0\ "/>
    <numFmt numFmtId="172" formatCode="0.0%"/>
    <numFmt numFmtId="173" formatCode="0.000%"/>
    <numFmt numFmtId="174" formatCode="#,##0.00000"/>
    <numFmt numFmtId="175" formatCode="_ * #,##0.00_ ;_ * \-#,##0.00_ ;_ * &quot;-&quot;??_ ;_ @_ "/>
    <numFmt numFmtId="176" formatCode="_ * #,##0.0000_ ;_ * \-#,##0.0000_ ;_ * &quot;-&quot;??_ ;_ @_ "/>
  </numFmts>
  <fonts count="66"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name val="Arial"/>
      <family val="2"/>
    </font>
    <font>
      <sz val="10"/>
      <color theme="1"/>
      <name val="Corbel"/>
      <family val="2"/>
    </font>
    <font>
      <b/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  <charset val="1"/>
    </font>
    <font>
      <sz val="12"/>
      <name val="Times"/>
      <family val="1"/>
    </font>
    <font>
      <sz val="10"/>
      <color rgb="FFFF0000"/>
      <name val="Geneva"/>
      <family val="2"/>
      <charset val="1"/>
    </font>
    <font>
      <sz val="10"/>
      <color rgb="FF008000"/>
      <name val="Geneva"/>
      <family val="2"/>
      <charset val="1"/>
    </font>
    <font>
      <i/>
      <sz val="12"/>
      <name val="Times"/>
      <family val="1"/>
    </font>
    <font>
      <u/>
      <sz val="11"/>
      <color theme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name val="Arial"/>
      <family val="2"/>
    </font>
    <font>
      <sz val="10"/>
      <name val="Calibri"/>
      <family val="2"/>
      <scheme val="minor"/>
    </font>
    <font>
      <sz val="10"/>
      <name val="Times"/>
      <family val="1"/>
    </font>
    <font>
      <sz val="12"/>
      <color theme="1"/>
      <name val="Times"/>
      <family val="1"/>
    </font>
    <font>
      <sz val="10"/>
      <color theme="1"/>
      <name val="Geneva"/>
      <family val="2"/>
      <charset val="1"/>
    </font>
    <font>
      <sz val="8"/>
      <name val="Calibri"/>
      <family val="2"/>
      <scheme val="minor"/>
    </font>
    <font>
      <b/>
      <sz val="12"/>
      <color rgb="FF000000"/>
      <name val="Calibri"/>
      <family val="2"/>
    </font>
    <font>
      <i/>
      <sz val="12"/>
      <color rgb="FF000000"/>
      <name val="Calibri"/>
      <family val="2"/>
    </font>
    <font>
      <u/>
      <sz val="10"/>
      <color indexed="12"/>
      <name val="Geneva"/>
      <family val="2"/>
      <charset val="1"/>
    </font>
    <font>
      <sz val="12"/>
      <name val="Calibri"/>
      <family val="2"/>
    </font>
    <font>
      <sz val="12"/>
      <color rgb="FF000000"/>
      <name val="Calibri"/>
      <family val="2"/>
    </font>
    <font>
      <sz val="14"/>
      <color indexed="10"/>
      <name val="Times"/>
      <family val="1"/>
    </font>
    <font>
      <sz val="14"/>
      <color indexed="10"/>
      <name val="Geneva"/>
      <family val="2"/>
      <charset val="1"/>
    </font>
    <font>
      <b/>
      <sz val="12"/>
      <name val="Times"/>
      <family val="1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Times"/>
      <family val="1"/>
    </font>
    <font>
      <b/>
      <sz val="9"/>
      <color indexed="8"/>
      <name val="Geneva"/>
      <family val="2"/>
      <charset val="1"/>
    </font>
    <font>
      <sz val="9"/>
      <color indexed="8"/>
      <name val="Geneva"/>
      <family val="2"/>
      <charset val="1"/>
    </font>
    <font>
      <sz val="10"/>
      <name val="Calibri"/>
      <family val="2"/>
    </font>
    <font>
      <b/>
      <sz val="10"/>
      <name val="Calibri"/>
      <family val="2"/>
    </font>
    <font>
      <sz val="11"/>
      <color theme="9" tint="0.39997558519241921"/>
      <name val="Calibri"/>
      <family val="2"/>
      <scheme val="minor"/>
    </font>
    <font>
      <sz val="10"/>
      <color theme="9" tint="0.39997558519241921"/>
      <name val="Calibri"/>
      <family val="2"/>
      <scheme val="minor"/>
    </font>
    <font>
      <b/>
      <sz val="12"/>
      <name val="Arial Narrow"/>
      <family val="2"/>
    </font>
    <font>
      <sz val="12"/>
      <name val="Arial"/>
      <family val="2"/>
    </font>
    <font>
      <b/>
      <i/>
      <sz val="12"/>
      <name val="Arial Narrow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rgb="FF202124"/>
      <name val="Arial"/>
      <family val="2"/>
    </font>
    <font>
      <b/>
      <sz val="12"/>
      <color rgb="FF202124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8"/>
      <color indexed="10"/>
      <name val="Arial"/>
      <family val="2"/>
    </font>
    <font>
      <sz val="10"/>
      <color indexed="10"/>
      <name val="Arial"/>
      <family val="2"/>
    </font>
    <font>
      <b/>
      <sz val="10"/>
      <name val="Calibri"/>
      <family val="2"/>
      <scheme val="minor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70C0"/>
      <name val="Arial"/>
      <family val="2"/>
    </font>
    <font>
      <b/>
      <sz val="11"/>
      <color theme="4" tint="0.3999755851924192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rgb="FF000000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3">
    <xf numFmtId="0" fontId="0" fillId="0" borderId="0"/>
    <xf numFmtId="0" fontId="3" fillId="0" borderId="0"/>
    <xf numFmtId="0" fontId="4" fillId="0" borderId="0"/>
    <xf numFmtId="9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61" fillId="0" borderId="0" applyBorder="0"/>
  </cellStyleXfs>
  <cellXfs count="347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right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 vertical="center"/>
    </xf>
    <xf numFmtId="3" fontId="0" fillId="2" borderId="0" xfId="0" applyNumberFormat="1" applyFill="1" applyBorder="1"/>
    <xf numFmtId="3" fontId="0" fillId="2" borderId="0" xfId="0" applyNumberForma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164" fontId="0" fillId="2" borderId="0" xfId="0" applyNumberForma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left" vertical="center" indent="1"/>
    </xf>
    <xf numFmtId="0" fontId="5" fillId="2" borderId="0" xfId="0" applyFont="1" applyFill="1" applyBorder="1" applyAlignment="1">
      <alignment horizontal="right" vertical="center"/>
    </xf>
    <xf numFmtId="0" fontId="7" fillId="0" borderId="0" xfId="4"/>
    <xf numFmtId="0" fontId="7" fillId="0" borderId="0" xfId="4" applyAlignment="1">
      <alignment horizontal="center"/>
    </xf>
    <xf numFmtId="10" fontId="8" fillId="0" borderId="1" xfId="5" applyNumberFormat="1" applyFont="1" applyFill="1" applyBorder="1" applyAlignment="1">
      <alignment horizontal="center"/>
    </xf>
    <xf numFmtId="10" fontId="7" fillId="0" borderId="0" xfId="4" applyNumberFormat="1" applyAlignment="1">
      <alignment horizontal="center"/>
    </xf>
    <xf numFmtId="0" fontId="8" fillId="0" borderId="2" xfId="4" applyFont="1" applyBorder="1" applyAlignment="1">
      <alignment horizontal="center"/>
    </xf>
    <xf numFmtId="10" fontId="9" fillId="0" borderId="1" xfId="4" applyNumberFormat="1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10" fontId="7" fillId="0" borderId="1" xfId="4" applyNumberFormat="1" applyBorder="1" applyAlignment="1">
      <alignment horizontal="center"/>
    </xf>
    <xf numFmtId="10" fontId="10" fillId="0" borderId="1" xfId="4" applyNumberFormat="1" applyFont="1" applyBorder="1" applyAlignment="1">
      <alignment horizontal="center"/>
    </xf>
    <xf numFmtId="10" fontId="8" fillId="0" borderId="1" xfId="5" applyNumberFormat="1" applyFont="1" applyBorder="1" applyAlignment="1">
      <alignment horizontal="center"/>
    </xf>
    <xf numFmtId="10" fontId="8" fillId="0" borderId="1" xfId="4" applyNumberFormat="1" applyFont="1" applyBorder="1" applyAlignment="1">
      <alignment horizontal="center"/>
    </xf>
    <xf numFmtId="0" fontId="11" fillId="0" borderId="1" xfId="4" applyFont="1" applyBorder="1" applyAlignment="1">
      <alignment horizontal="center"/>
    </xf>
    <xf numFmtId="0" fontId="8" fillId="0" borderId="0" xfId="4" applyFont="1"/>
    <xf numFmtId="0" fontId="8" fillId="0" borderId="0" xfId="4" applyFont="1" applyAlignment="1">
      <alignment horizontal="center"/>
    </xf>
    <xf numFmtId="0" fontId="8" fillId="0" borderId="0" xfId="4" applyFont="1" applyAlignment="1">
      <alignment horizontal="left"/>
    </xf>
    <xf numFmtId="0" fontId="7" fillId="0" borderId="0" xfId="4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indent="1"/>
    </xf>
    <xf numFmtId="0" fontId="0" fillId="0" borderId="0" xfId="0" applyFill="1" applyBorder="1"/>
    <xf numFmtId="3" fontId="12" fillId="2" borderId="0" xfId="6" applyNumberFormat="1" applyFill="1" applyBorder="1" applyAlignment="1">
      <alignment horizontal="right" vertical="center"/>
    </xf>
    <xf numFmtId="10" fontId="5" fillId="2" borderId="0" xfId="3" applyNumberFormat="1" applyFont="1" applyFill="1" applyBorder="1" applyAlignment="1">
      <alignment horizontal="right" vertical="center"/>
    </xf>
    <xf numFmtId="164" fontId="13" fillId="0" borderId="3" xfId="0" applyNumberFormat="1" applyFont="1" applyBorder="1" applyAlignment="1">
      <alignment horizontal="center" vertical="center"/>
    </xf>
    <xf numFmtId="10" fontId="14" fillId="2" borderId="4" xfId="0" applyNumberFormat="1" applyFont="1" applyFill="1" applyBorder="1"/>
    <xf numFmtId="0" fontId="15" fillId="2" borderId="0" xfId="0" applyFont="1" applyFill="1" applyBorder="1" applyAlignment="1">
      <alignment horizontal="right"/>
    </xf>
    <xf numFmtId="0" fontId="14" fillId="2" borderId="0" xfId="0" applyFont="1" applyFill="1" applyBorder="1"/>
    <xf numFmtId="0" fontId="17" fillId="0" borderId="0" xfId="6" applyFont="1" applyAlignment="1">
      <alignment horizontal="center" vertical="center" wrapText="1"/>
    </xf>
    <xf numFmtId="10" fontId="17" fillId="0" borderId="0" xfId="3" applyNumberFormat="1" applyFont="1" applyAlignment="1">
      <alignment horizontal="right" vertical="center" wrapText="1"/>
    </xf>
    <xf numFmtId="0" fontId="17" fillId="0" borderId="0" xfId="6" applyFont="1" applyAlignment="1">
      <alignment horizontal="right" vertical="center" wrapText="1"/>
    </xf>
    <xf numFmtId="10" fontId="17" fillId="0" borderId="0" xfId="6" applyNumberFormat="1" applyFont="1" applyAlignment="1">
      <alignment horizontal="right" vertical="center" wrapText="1"/>
    </xf>
    <xf numFmtId="10" fontId="17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8" fillId="0" borderId="6" xfId="4" applyFont="1" applyBorder="1" applyAlignment="1">
      <alignment horizontal="center"/>
    </xf>
    <xf numFmtId="2" fontId="8" fillId="0" borderId="1" xfId="4" applyNumberFormat="1" applyFont="1" applyBorder="1" applyAlignment="1">
      <alignment horizontal="center"/>
    </xf>
    <xf numFmtId="10" fontId="8" fillId="0" borderId="0" xfId="4" applyNumberFormat="1" applyFont="1" applyAlignment="1">
      <alignment horizontal="center"/>
    </xf>
    <xf numFmtId="10" fontId="0" fillId="0" borderId="0" xfId="5" applyNumberFormat="1" applyFont="1"/>
    <xf numFmtId="10" fontId="8" fillId="0" borderId="7" xfId="5" applyNumberFormat="1" applyFont="1" applyBorder="1" applyAlignment="1">
      <alignment horizontal="center"/>
    </xf>
    <xf numFmtId="10" fontId="0" fillId="0" borderId="0" xfId="5" applyNumberFormat="1" applyFont="1" applyAlignment="1">
      <alignment horizontal="center"/>
    </xf>
    <xf numFmtId="10" fontId="8" fillId="0" borderId="0" xfId="5" applyNumberFormat="1" applyFont="1" applyBorder="1" applyAlignment="1">
      <alignment horizontal="center"/>
    </xf>
    <xf numFmtId="10" fontId="0" fillId="0" borderId="1" xfId="5" applyNumberFormat="1" applyFont="1" applyBorder="1" applyAlignment="1">
      <alignment horizontal="center"/>
    </xf>
    <xf numFmtId="0" fontId="18" fillId="0" borderId="0" xfId="4" applyFont="1" applyAlignment="1">
      <alignment horizontal="center"/>
    </xf>
    <xf numFmtId="0" fontId="7" fillId="0" borderId="1" xfId="4" applyBorder="1" applyAlignment="1">
      <alignment horizontal="center"/>
    </xf>
    <xf numFmtId="10" fontId="8" fillId="0" borderId="0" xfId="5" applyNumberFormat="1" applyFont="1" applyFill="1" applyBorder="1" applyAlignment="1">
      <alignment horizontal="center"/>
    </xf>
    <xf numFmtId="0" fontId="8" fillId="2" borderId="1" xfId="4" applyFont="1" applyFill="1" applyBorder="1" applyAlignment="1">
      <alignment horizontal="center"/>
    </xf>
    <xf numFmtId="0" fontId="7" fillId="2" borderId="1" xfId="4" applyFill="1" applyBorder="1" applyAlignment="1">
      <alignment horizontal="center"/>
    </xf>
    <xf numFmtId="2" fontId="19" fillId="0" borderId="1" xfId="4" applyNumberFormat="1" applyFont="1" applyBorder="1" applyAlignment="1">
      <alignment horizontal="center"/>
    </xf>
    <xf numFmtId="0" fontId="20" fillId="0" borderId="0" xfId="4" applyFont="1" applyAlignment="1">
      <alignment horizontal="center"/>
    </xf>
    <xf numFmtId="10" fontId="7" fillId="0" borderId="0" xfId="4" applyNumberFormat="1"/>
    <xf numFmtId="2" fontId="17" fillId="0" borderId="0" xfId="3" applyNumberFormat="1" applyFont="1" applyAlignment="1">
      <alignment horizontal="right" vertical="center" wrapText="1"/>
    </xf>
    <xf numFmtId="0" fontId="22" fillId="5" borderId="8" xfId="4" applyFont="1" applyFill="1" applyBorder="1"/>
    <xf numFmtId="0" fontId="22" fillId="5" borderId="12" xfId="4" applyFont="1" applyFill="1" applyBorder="1"/>
    <xf numFmtId="0" fontId="26" fillId="0" borderId="0" xfId="4" applyFont="1"/>
    <xf numFmtId="0" fontId="22" fillId="5" borderId="16" xfId="4" applyFont="1" applyFill="1" applyBorder="1"/>
    <xf numFmtId="0" fontId="27" fillId="0" borderId="0" xfId="4" applyFont="1"/>
    <xf numFmtId="0" fontId="28" fillId="0" borderId="0" xfId="4" applyFont="1"/>
    <xf numFmtId="0" fontId="28" fillId="0" borderId="0" xfId="4" applyFont="1" applyAlignment="1">
      <alignment horizontal="center"/>
    </xf>
    <xf numFmtId="0" fontId="8" fillId="6" borderId="1" xfId="4" applyFont="1" applyFill="1" applyBorder="1" applyAlignment="1">
      <alignment horizontal="center"/>
    </xf>
    <xf numFmtId="0" fontId="11" fillId="0" borderId="20" xfId="4" applyFont="1" applyBorder="1"/>
    <xf numFmtId="0" fontId="8" fillId="0" borderId="21" xfId="4" applyFont="1" applyBorder="1"/>
    <xf numFmtId="0" fontId="8" fillId="0" borderId="22" xfId="4" applyFont="1" applyBorder="1"/>
    <xf numFmtId="0" fontId="11" fillId="0" borderId="23" xfId="4" applyFont="1" applyBorder="1"/>
    <xf numFmtId="0" fontId="8" fillId="0" borderId="5" xfId="4" applyFont="1" applyBorder="1"/>
    <xf numFmtId="0" fontId="8" fillId="0" borderId="24" xfId="4" applyFont="1" applyBorder="1"/>
    <xf numFmtId="165" fontId="7" fillId="7" borderId="1" xfId="8" applyFont="1" applyFill="1" applyBorder="1" applyAlignment="1">
      <alignment horizontal="center"/>
    </xf>
    <xf numFmtId="10" fontId="8" fillId="7" borderId="25" xfId="4" applyNumberFormat="1" applyFont="1" applyFill="1" applyBorder="1" applyAlignment="1">
      <alignment horizontal="center"/>
    </xf>
    <xf numFmtId="0" fontId="29" fillId="0" borderId="29" xfId="4" applyFont="1" applyBorder="1"/>
    <xf numFmtId="0" fontId="29" fillId="0" borderId="0" xfId="4" applyFont="1"/>
    <xf numFmtId="0" fontId="30" fillId="0" borderId="30" xfId="4" applyFont="1" applyBorder="1" applyAlignment="1">
      <alignment horizontal="center" wrapText="1"/>
    </xf>
    <xf numFmtId="0" fontId="31" fillId="0" borderId="30" xfId="4" applyFont="1" applyBorder="1" applyAlignment="1">
      <alignment horizontal="center" wrapText="1"/>
    </xf>
    <xf numFmtId="0" fontId="31" fillId="0" borderId="23" xfId="4" applyFont="1" applyBorder="1" applyAlignment="1">
      <alignment horizontal="center" wrapText="1"/>
    </xf>
    <xf numFmtId="0" fontId="8" fillId="0" borderId="0" xfId="4" applyFont="1" applyAlignment="1">
      <alignment wrapText="1"/>
    </xf>
    <xf numFmtId="0" fontId="31" fillId="0" borderId="1" xfId="4" applyFont="1" applyBorder="1" applyAlignment="1">
      <alignment horizontal="center"/>
    </xf>
    <xf numFmtId="10" fontId="31" fillId="0" borderId="1" xfId="4" applyNumberFormat="1" applyFont="1" applyBorder="1" applyAlignment="1">
      <alignment horizontal="center"/>
    </xf>
    <xf numFmtId="165" fontId="31" fillId="0" borderId="1" xfId="8" applyFont="1" applyBorder="1" applyAlignment="1">
      <alignment horizontal="center"/>
    </xf>
    <xf numFmtId="10" fontId="31" fillId="0" borderId="7" xfId="4" applyNumberFormat="1" applyFont="1" applyBorder="1" applyAlignment="1">
      <alignment horizontal="center"/>
    </xf>
    <xf numFmtId="0" fontId="31" fillId="0" borderId="7" xfId="4" applyFont="1" applyBorder="1" applyAlignment="1">
      <alignment horizontal="center"/>
    </xf>
    <xf numFmtId="10" fontId="8" fillId="0" borderId="1" xfId="5" applyNumberFormat="1" applyFont="1" applyBorder="1"/>
    <xf numFmtId="10" fontId="8" fillId="0" borderId="1" xfId="4" applyNumberFormat="1" applyFont="1" applyBorder="1"/>
    <xf numFmtId="0" fontId="31" fillId="0" borderId="0" xfId="4" applyFont="1" applyAlignment="1">
      <alignment horizontal="center"/>
    </xf>
    <xf numFmtId="0" fontId="31" fillId="0" borderId="31" xfId="4" applyFont="1" applyBorder="1" applyAlignment="1">
      <alignment horizontal="center"/>
    </xf>
    <xf numFmtId="10" fontId="31" fillId="0" borderId="31" xfId="4" applyNumberFormat="1" applyFont="1" applyBorder="1" applyAlignment="1">
      <alignment horizontal="center"/>
    </xf>
    <xf numFmtId="10" fontId="31" fillId="0" borderId="20" xfId="4" applyNumberFormat="1" applyFont="1" applyBorder="1" applyAlignment="1">
      <alignment horizontal="center"/>
    </xf>
    <xf numFmtId="10" fontId="8" fillId="0" borderId="31" xfId="5" applyNumberFormat="1" applyFont="1" applyBorder="1" applyAlignment="1">
      <alignment horizontal="center"/>
    </xf>
    <xf numFmtId="10" fontId="8" fillId="0" borderId="31" xfId="4" applyNumberFormat="1" applyFont="1" applyBorder="1"/>
    <xf numFmtId="0" fontId="29" fillId="0" borderId="0" xfId="4" applyFont="1" applyAlignment="1">
      <alignment horizontal="center"/>
    </xf>
    <xf numFmtId="0" fontId="8" fillId="0" borderId="30" xfId="4" applyFont="1" applyBorder="1"/>
    <xf numFmtId="0" fontId="8" fillId="0" borderId="30" xfId="4" applyFont="1" applyBorder="1" applyAlignment="1">
      <alignment horizontal="center"/>
    </xf>
    <xf numFmtId="10" fontId="7" fillId="0" borderId="30" xfId="4" applyNumberFormat="1" applyBorder="1" applyAlignment="1">
      <alignment horizontal="center"/>
    </xf>
    <xf numFmtId="10" fontId="7" fillId="0" borderId="1" xfId="4" applyNumberFormat="1" applyBorder="1"/>
    <xf numFmtId="0" fontId="32" fillId="0" borderId="0" xfId="4" applyFont="1"/>
    <xf numFmtId="0" fontId="8" fillId="0" borderId="1" xfId="4" applyFont="1" applyBorder="1"/>
    <xf numFmtId="10" fontId="8" fillId="0" borderId="30" xfId="5" applyNumberFormat="1" applyFont="1" applyBorder="1" applyAlignment="1">
      <alignment horizontal="center"/>
    </xf>
    <xf numFmtId="10" fontId="17" fillId="0" borderId="0" xfId="6" applyNumberFormat="1" applyFont="1" applyFill="1" applyBorder="1" applyAlignment="1">
      <alignment horizontal="right" vertical="center" wrapText="1"/>
    </xf>
    <xf numFmtId="0" fontId="35" fillId="2" borderId="0" xfId="0" applyFont="1" applyFill="1" applyBorder="1"/>
    <xf numFmtId="3" fontId="35" fillId="2" borderId="0" xfId="0" applyNumberFormat="1" applyFont="1" applyFill="1" applyBorder="1"/>
    <xf numFmtId="0" fontId="36" fillId="2" borderId="0" xfId="0" applyFont="1" applyFill="1" applyBorder="1" applyAlignment="1">
      <alignment horizontal="right" vertical="center"/>
    </xf>
    <xf numFmtId="0" fontId="37" fillId="2" borderId="0" xfId="0" applyFont="1" applyFill="1" applyBorder="1"/>
    <xf numFmtId="10" fontId="38" fillId="0" borderId="0" xfId="6" applyNumberFormat="1" applyFont="1" applyFill="1" applyBorder="1" applyAlignment="1">
      <alignment horizontal="right" vertical="center" wrapText="1"/>
    </xf>
    <xf numFmtId="164" fontId="13" fillId="0" borderId="3" xfId="0" applyNumberFormat="1" applyFont="1" applyBorder="1" applyAlignment="1">
      <alignment horizontal="left" vertical="center"/>
    </xf>
    <xf numFmtId="0" fontId="3" fillId="0" borderId="0" xfId="1"/>
    <xf numFmtId="0" fontId="12" fillId="0" borderId="0" xfId="6" applyFill="1" applyAlignment="1">
      <alignment horizontal="left" vertical="center"/>
    </xf>
    <xf numFmtId="0" fontId="3" fillId="0" borderId="0" xfId="1" applyAlignment="1">
      <alignment horizontal="center" vertical="center"/>
    </xf>
    <xf numFmtId="0" fontId="39" fillId="0" borderId="0" xfId="1" applyFont="1" applyAlignment="1">
      <alignment horizontal="left" indent="1"/>
    </xf>
    <xf numFmtId="0" fontId="40" fillId="0" borderId="0" xfId="1" applyFont="1"/>
    <xf numFmtId="0" fontId="16" fillId="0" borderId="0" xfId="1" applyFont="1"/>
    <xf numFmtId="0" fontId="41" fillId="0" borderId="0" xfId="1" applyFont="1" applyAlignment="1">
      <alignment horizontal="left" indent="1"/>
    </xf>
    <xf numFmtId="0" fontId="3" fillId="0" borderId="2" xfId="1" applyBorder="1" applyAlignment="1">
      <alignment horizontal="center"/>
    </xf>
    <xf numFmtId="0" fontId="3" fillId="0" borderId="31" xfId="1" applyBorder="1"/>
    <xf numFmtId="0" fontId="3" fillId="0" borderId="30" xfId="1" applyBorder="1"/>
    <xf numFmtId="0" fontId="3" fillId="0" borderId="2" xfId="1" applyBorder="1" applyAlignment="1">
      <alignment horizontal="center" vertical="center"/>
    </xf>
    <xf numFmtId="1" fontId="3" fillId="0" borderId="2" xfId="1" applyNumberFormat="1" applyBorder="1" applyAlignment="1">
      <alignment horizontal="center" vertical="center"/>
    </xf>
    <xf numFmtId="0" fontId="43" fillId="0" borderId="2" xfId="1" applyFont="1" applyBorder="1" applyAlignment="1">
      <alignment horizontal="center" vertical="center"/>
    </xf>
    <xf numFmtId="1" fontId="43" fillId="0" borderId="2" xfId="1" applyNumberFormat="1" applyFont="1" applyBorder="1" applyAlignment="1">
      <alignment horizontal="center" vertical="center"/>
    </xf>
    <xf numFmtId="0" fontId="3" fillId="0" borderId="30" xfId="1" applyBorder="1" applyAlignment="1">
      <alignment horizontal="center" vertical="center"/>
    </xf>
    <xf numFmtId="1" fontId="3" fillId="0" borderId="30" xfId="1" applyNumberFormat="1" applyBorder="1" applyAlignment="1">
      <alignment horizontal="center" vertical="center"/>
    </xf>
    <xf numFmtId="3" fontId="3" fillId="0" borderId="2" xfId="1" applyNumberFormat="1" applyBorder="1" applyAlignment="1">
      <alignment horizontal="center" vertical="center"/>
    </xf>
    <xf numFmtId="3" fontId="3" fillId="0" borderId="30" xfId="1" applyNumberFormat="1" applyBorder="1" applyAlignment="1">
      <alignment horizontal="center" vertical="center"/>
    </xf>
    <xf numFmtId="10" fontId="17" fillId="0" borderId="0" xfId="3" applyNumberFormat="1" applyFont="1" applyAlignment="1">
      <alignment horizontal="left" wrapText="1"/>
    </xf>
    <xf numFmtId="164" fontId="13" fillId="0" borderId="36" xfId="0" applyNumberFormat="1" applyFont="1" applyBorder="1" applyAlignment="1">
      <alignment horizontal="center" vertical="center"/>
    </xf>
    <xf numFmtId="0" fontId="17" fillId="4" borderId="36" xfId="6" applyFont="1" applyFill="1" applyBorder="1" applyAlignment="1">
      <alignment horizontal="center" vertical="center" wrapText="1"/>
    </xf>
    <xf numFmtId="10" fontId="17" fillId="4" borderId="36" xfId="3" applyNumberFormat="1" applyFont="1" applyFill="1" applyBorder="1" applyAlignment="1">
      <alignment horizontal="left" wrapText="1"/>
    </xf>
    <xf numFmtId="0" fontId="17" fillId="4" borderId="0" xfId="6" applyFont="1" applyFill="1" applyAlignment="1">
      <alignment horizontal="center" vertical="center" wrapText="1"/>
    </xf>
    <xf numFmtId="10" fontId="17" fillId="4" borderId="0" xfId="3" applyNumberFormat="1" applyFont="1" applyFill="1" applyAlignment="1">
      <alignment horizontal="left" wrapText="1"/>
    </xf>
    <xf numFmtId="1" fontId="17" fillId="4" borderId="0" xfId="3" applyNumberFormat="1" applyFont="1" applyFill="1" applyBorder="1" applyAlignment="1">
      <alignment horizontal="right" wrapText="1"/>
    </xf>
    <xf numFmtId="1" fontId="17" fillId="0" borderId="0" xfId="3" applyNumberFormat="1" applyFont="1" applyBorder="1" applyAlignment="1">
      <alignment horizontal="right" wrapText="1"/>
    </xf>
    <xf numFmtId="0" fontId="17" fillId="0" borderId="5" xfId="6" applyFont="1" applyBorder="1" applyAlignment="1">
      <alignment horizontal="center" vertical="center" wrapText="1"/>
    </xf>
    <xf numFmtId="10" fontId="17" fillId="0" borderId="5" xfId="3" applyNumberFormat="1" applyFont="1" applyBorder="1" applyAlignment="1">
      <alignment horizontal="left" wrapText="1"/>
    </xf>
    <xf numFmtId="1" fontId="17" fillId="0" borderId="5" xfId="3" applyNumberFormat="1" applyFont="1" applyBorder="1" applyAlignment="1">
      <alignment horizontal="right" wrapText="1"/>
    </xf>
    <xf numFmtId="3" fontId="0" fillId="2" borderId="0" xfId="0" applyNumberFormat="1" applyFill="1"/>
    <xf numFmtId="10" fontId="14" fillId="2" borderId="4" xfId="3" applyNumberFormat="1" applyFont="1" applyFill="1" applyBorder="1"/>
    <xf numFmtId="0" fontId="44" fillId="0" borderId="0" xfId="0" applyFont="1" applyAlignment="1">
      <alignment horizontal="center"/>
    </xf>
    <xf numFmtId="0" fontId="47" fillId="2" borderId="0" xfId="0" applyFont="1" applyFill="1" applyBorder="1" applyAlignment="1">
      <alignment horizontal="left" vertical="center" indent="1"/>
    </xf>
    <xf numFmtId="0" fontId="47" fillId="2" borderId="0" xfId="3" applyNumberFormat="1" applyFont="1" applyFill="1" applyBorder="1" applyAlignment="1">
      <alignment horizontal="right" vertical="center"/>
    </xf>
    <xf numFmtId="10" fontId="47" fillId="2" borderId="0" xfId="3" applyNumberFormat="1" applyFont="1" applyFill="1" applyBorder="1" applyAlignment="1">
      <alignment horizontal="right" vertical="center"/>
    </xf>
    <xf numFmtId="2" fontId="47" fillId="2" borderId="0" xfId="3" applyNumberFormat="1" applyFont="1" applyFill="1" applyBorder="1" applyAlignment="1">
      <alignment horizontal="right" vertical="center"/>
    </xf>
    <xf numFmtId="166" fontId="0" fillId="2" borderId="0" xfId="0" applyNumberFormat="1" applyFill="1" applyBorder="1" applyAlignment="1">
      <alignment horizontal="right"/>
    </xf>
    <xf numFmtId="166" fontId="0" fillId="2" borderId="0" xfId="0" applyNumberFormat="1" applyFill="1" applyBorder="1"/>
    <xf numFmtId="166" fontId="0" fillId="2" borderId="0" xfId="0" applyNumberFormat="1" applyFill="1" applyBorder="1" applyAlignment="1">
      <alignment horizontal="right" vertical="center"/>
    </xf>
    <xf numFmtId="2" fontId="0" fillId="2" borderId="0" xfId="0" applyNumberFormat="1" applyFill="1" applyBorder="1"/>
    <xf numFmtId="0" fontId="2" fillId="2" borderId="0" xfId="0" applyFont="1" applyFill="1" applyBorder="1" applyAlignment="1">
      <alignment horizontal="center" vertical="center"/>
    </xf>
    <xf numFmtId="2" fontId="5" fillId="2" borderId="0" xfId="3" applyNumberFormat="1" applyFont="1" applyFill="1" applyBorder="1" applyAlignment="1">
      <alignment horizontal="right" vertical="center"/>
    </xf>
    <xf numFmtId="0" fontId="2" fillId="2" borderId="36" xfId="0" applyFont="1" applyFill="1" applyBorder="1" applyAlignment="1">
      <alignment horizontal="center" vertical="center"/>
    </xf>
    <xf numFmtId="3" fontId="5" fillId="2" borderId="36" xfId="3" applyNumberFormat="1" applyFont="1" applyFill="1" applyBorder="1" applyAlignment="1">
      <alignment horizontal="right" vertical="center"/>
    </xf>
    <xf numFmtId="0" fontId="47" fillId="2" borderId="37" xfId="0" applyFont="1" applyFill="1" applyBorder="1" applyAlignment="1">
      <alignment horizontal="left" vertical="center" indent="1"/>
    </xf>
    <xf numFmtId="3" fontId="47" fillId="2" borderId="37" xfId="0" applyNumberFormat="1" applyFont="1" applyFill="1" applyBorder="1" applyAlignment="1">
      <alignment horizontal="right"/>
    </xf>
    <xf numFmtId="10" fontId="2" fillId="2" borderId="0" xfId="0" applyNumberFormat="1" applyFont="1" applyFill="1" applyBorder="1"/>
    <xf numFmtId="14" fontId="48" fillId="2" borderId="0" xfId="0" applyNumberFormat="1" applyFont="1" applyFill="1"/>
    <xf numFmtId="14" fontId="48" fillId="2" borderId="5" xfId="0" applyNumberFormat="1" applyFont="1" applyFill="1" applyBorder="1"/>
    <xf numFmtId="0" fontId="48" fillId="2" borderId="0" xfId="0" applyFont="1" applyFill="1"/>
    <xf numFmtId="3" fontId="48" fillId="2" borderId="0" xfId="0" applyNumberFormat="1" applyFont="1" applyFill="1"/>
    <xf numFmtId="167" fontId="48" fillId="2" borderId="0" xfId="0" applyNumberFormat="1" applyFont="1" applyFill="1"/>
    <xf numFmtId="10" fontId="48" fillId="2" borderId="0" xfId="0" applyNumberFormat="1" applyFont="1" applyFill="1"/>
    <xf numFmtId="10" fontId="48" fillId="2" borderId="0" xfId="3" applyNumberFormat="1" applyFont="1" applyFill="1"/>
    <xf numFmtId="168" fontId="48" fillId="2" borderId="0" xfId="0" applyNumberFormat="1" applyFont="1" applyFill="1"/>
    <xf numFmtId="169" fontId="48" fillId="2" borderId="0" xfId="0" applyNumberFormat="1" applyFont="1" applyFill="1"/>
    <xf numFmtId="170" fontId="48" fillId="2" borderId="0" xfId="0" applyNumberFormat="1" applyFont="1" applyFill="1"/>
    <xf numFmtId="9" fontId="48" fillId="2" borderId="0" xfId="0" applyNumberFormat="1" applyFont="1" applyFill="1"/>
    <xf numFmtId="0" fontId="0" fillId="2" borderId="0" xfId="0" applyFill="1"/>
    <xf numFmtId="0" fontId="49" fillId="0" borderId="0" xfId="9" applyFont="1" applyAlignment="1">
      <alignment vertical="center"/>
    </xf>
    <xf numFmtId="0" fontId="50" fillId="0" borderId="0" xfId="9" applyFont="1" applyAlignment="1">
      <alignment horizontal="center" vertical="center"/>
    </xf>
    <xf numFmtId="0" fontId="3" fillId="0" borderId="0" xfId="9" applyAlignment="1">
      <alignment vertical="center"/>
    </xf>
    <xf numFmtId="0" fontId="51" fillId="0" borderId="0" xfId="9" quotePrefix="1" applyFont="1" applyAlignment="1">
      <alignment horizontal="right" vertical="center"/>
    </xf>
    <xf numFmtId="0" fontId="51" fillId="0" borderId="0" xfId="9" applyFont="1" applyAlignment="1">
      <alignment vertical="center"/>
    </xf>
    <xf numFmtId="0" fontId="52" fillId="0" borderId="0" xfId="9" applyFont="1" applyAlignment="1">
      <alignment vertical="center"/>
    </xf>
    <xf numFmtId="0" fontId="53" fillId="0" borderId="0" xfId="9" applyFont="1" applyAlignment="1">
      <alignment vertical="center"/>
    </xf>
    <xf numFmtId="0" fontId="54" fillId="0" borderId="0" xfId="9" applyFont="1" applyAlignment="1">
      <alignment vertical="center"/>
    </xf>
    <xf numFmtId="0" fontId="55" fillId="0" borderId="0" xfId="9" applyFont="1" applyAlignment="1">
      <alignment vertical="center"/>
    </xf>
    <xf numFmtId="0" fontId="3" fillId="8" borderId="0" xfId="9" applyFill="1" applyAlignment="1">
      <alignment vertical="center"/>
    </xf>
    <xf numFmtId="0" fontId="56" fillId="0" borderId="0" xfId="9" applyFont="1" applyAlignment="1">
      <alignment vertical="center"/>
    </xf>
    <xf numFmtId="0" fontId="49" fillId="0" borderId="6" xfId="9" applyFont="1" applyBorder="1" applyAlignment="1">
      <alignment vertical="center"/>
    </xf>
    <xf numFmtId="3" fontId="49" fillId="9" borderId="31" xfId="9" applyNumberFormat="1" applyFont="1" applyFill="1" applyBorder="1" applyAlignment="1">
      <alignment horizontal="center" vertical="center"/>
    </xf>
    <xf numFmtId="0" fontId="49" fillId="9" borderId="31" xfId="9" applyFont="1" applyFill="1" applyBorder="1" applyAlignment="1">
      <alignment horizontal="center" vertical="center"/>
    </xf>
    <xf numFmtId="0" fontId="49" fillId="9" borderId="20" xfId="9" applyFont="1" applyFill="1" applyBorder="1" applyAlignment="1">
      <alignment horizontal="center" vertical="center"/>
    </xf>
    <xf numFmtId="0" fontId="49" fillId="9" borderId="31" xfId="9" applyFont="1" applyFill="1" applyBorder="1" applyAlignment="1">
      <alignment horizontal="centerContinuous" vertical="center"/>
    </xf>
    <xf numFmtId="3" fontId="49" fillId="9" borderId="30" xfId="9" applyNumberFormat="1" applyFont="1" applyFill="1" applyBorder="1" applyAlignment="1">
      <alignment horizontal="left" vertical="center"/>
    </xf>
    <xf numFmtId="0" fontId="49" fillId="9" borderId="30" xfId="9" applyFont="1" applyFill="1" applyBorder="1" applyAlignment="1">
      <alignment horizontal="center"/>
    </xf>
    <xf numFmtId="0" fontId="49" fillId="9" borderId="23" xfId="9" applyFont="1" applyFill="1" applyBorder="1" applyAlignment="1">
      <alignment horizontal="center"/>
    </xf>
    <xf numFmtId="0" fontId="49" fillId="9" borderId="23" xfId="9" applyFont="1" applyFill="1" applyBorder="1" applyAlignment="1">
      <alignment horizontal="center" vertical="center"/>
    </xf>
    <xf numFmtId="0" fontId="49" fillId="9" borderId="23" xfId="9" quotePrefix="1" applyFont="1" applyFill="1" applyBorder="1" applyAlignment="1">
      <alignment horizontal="center" vertical="center"/>
    </xf>
    <xf numFmtId="0" fontId="49" fillId="9" borderId="30" xfId="9" applyFont="1" applyFill="1" applyBorder="1" applyAlignment="1">
      <alignment horizontal="center" vertical="center"/>
    </xf>
    <xf numFmtId="0" fontId="57" fillId="0" borderId="31" xfId="10" applyFont="1" applyBorder="1" applyAlignment="1">
      <alignment vertical="center"/>
    </xf>
    <xf numFmtId="3" fontId="57" fillId="0" borderId="31" xfId="10" applyNumberFormat="1" applyFont="1" applyBorder="1" applyAlignment="1">
      <alignment vertical="center"/>
    </xf>
    <xf numFmtId="0" fontId="57" fillId="0" borderId="2" xfId="10" applyFont="1" applyBorder="1" applyAlignment="1">
      <alignment vertical="center"/>
    </xf>
    <xf numFmtId="3" fontId="57" fillId="0" borderId="2" xfId="10" applyNumberFormat="1" applyFont="1" applyBorder="1" applyAlignment="1">
      <alignment vertical="center"/>
    </xf>
    <xf numFmtId="0" fontId="49" fillId="0" borderId="2" xfId="10" applyFont="1" applyBorder="1" applyAlignment="1">
      <alignment vertical="center"/>
    </xf>
    <xf numFmtId="3" fontId="49" fillId="0" borderId="2" xfId="10" applyNumberFormat="1" applyFont="1" applyBorder="1" applyAlignment="1">
      <alignment vertical="center"/>
    </xf>
    <xf numFmtId="3" fontId="3" fillId="0" borderId="0" xfId="9" applyNumberFormat="1" applyAlignment="1">
      <alignment vertical="center"/>
    </xf>
    <xf numFmtId="0" fontId="57" fillId="9" borderId="1" xfId="10" applyFont="1" applyFill="1" applyBorder="1" applyAlignment="1">
      <alignment vertical="center"/>
    </xf>
    <xf numFmtId="3" fontId="57" fillId="9" borderId="1" xfId="10" applyNumberFormat="1" applyFont="1" applyFill="1" applyBorder="1" applyAlignment="1">
      <alignment vertical="center"/>
    </xf>
    <xf numFmtId="0" fontId="49" fillId="2" borderId="2" xfId="10" applyFont="1" applyFill="1" applyBorder="1" applyAlignment="1">
      <alignment vertical="center"/>
    </xf>
    <xf numFmtId="3" fontId="49" fillId="2" borderId="2" xfId="10" applyNumberFormat="1" applyFont="1" applyFill="1" applyBorder="1" applyAlignment="1">
      <alignment vertical="center"/>
    </xf>
    <xf numFmtId="0" fontId="57" fillId="10" borderId="1" xfId="10" applyFont="1" applyFill="1" applyBorder="1" applyAlignment="1">
      <alignment vertical="center"/>
    </xf>
    <xf numFmtId="3" fontId="57" fillId="10" borderId="1" xfId="10" applyNumberFormat="1" applyFont="1" applyFill="1" applyBorder="1" applyAlignment="1">
      <alignment vertical="center"/>
    </xf>
    <xf numFmtId="0" fontId="49" fillId="0" borderId="1" xfId="10" applyFont="1" applyBorder="1" applyAlignment="1">
      <alignment vertical="center"/>
    </xf>
    <xf numFmtId="3" fontId="49" fillId="0" borderId="1" xfId="10" applyNumberFormat="1" applyFont="1" applyBorder="1" applyAlignment="1">
      <alignment vertical="center"/>
    </xf>
    <xf numFmtId="3" fontId="49" fillId="0" borderId="2" xfId="11" applyNumberFormat="1" applyFont="1" applyBorder="1"/>
    <xf numFmtId="3" fontId="57" fillId="0" borderId="30" xfId="11" applyNumberFormat="1" applyFont="1" applyBorder="1"/>
    <xf numFmtId="3" fontId="49" fillId="0" borderId="30" xfId="11" applyNumberFormat="1" applyFont="1" applyBorder="1"/>
    <xf numFmtId="0" fontId="49" fillId="0" borderId="30" xfId="10" applyFont="1" applyBorder="1" applyAlignment="1">
      <alignment vertical="center"/>
    </xf>
    <xf numFmtId="3" fontId="49" fillId="0" borderId="0" xfId="9" applyNumberFormat="1" applyFont="1" applyAlignment="1">
      <alignment vertical="center"/>
    </xf>
    <xf numFmtId="2" fontId="3" fillId="0" borderId="0" xfId="9" applyNumberFormat="1" applyAlignment="1">
      <alignment vertical="center"/>
    </xf>
    <xf numFmtId="0" fontId="12" fillId="2" borderId="36" xfId="6" applyFill="1" applyBorder="1" applyAlignment="1">
      <alignment horizontal="left" vertical="center" indent="1"/>
    </xf>
    <xf numFmtId="4" fontId="47" fillId="2" borderId="36" xfId="3" applyNumberFormat="1" applyFont="1" applyFill="1" applyBorder="1" applyAlignment="1">
      <alignment horizontal="right" vertical="center"/>
    </xf>
    <xf numFmtId="0" fontId="47" fillId="2" borderId="4" xfId="0" applyFont="1" applyFill="1" applyBorder="1" applyAlignment="1">
      <alignment horizontal="left" vertical="center" indent="1"/>
    </xf>
    <xf numFmtId="4" fontId="47" fillId="2" borderId="4" xfId="3" applyNumberFormat="1" applyFont="1" applyFill="1" applyBorder="1" applyAlignment="1">
      <alignment horizontal="right" vertical="center"/>
    </xf>
    <xf numFmtId="3" fontId="47" fillId="2" borderId="37" xfId="0" quotePrefix="1" applyNumberFormat="1" applyFont="1" applyFill="1" applyBorder="1" applyAlignment="1">
      <alignment horizontal="right"/>
    </xf>
    <xf numFmtId="0" fontId="57" fillId="0" borderId="0" xfId="9" applyFont="1" applyAlignment="1">
      <alignment vertical="center"/>
    </xf>
    <xf numFmtId="0" fontId="57" fillId="0" borderId="0" xfId="9" applyFont="1" applyAlignment="1">
      <alignment horizontal="center" vertical="center"/>
    </xf>
    <xf numFmtId="3" fontId="57" fillId="0" borderId="0" xfId="9" applyNumberFormat="1" applyFont="1" applyAlignment="1">
      <alignment horizontal="center" vertical="center"/>
    </xf>
    <xf numFmtId="3" fontId="49" fillId="9" borderId="30" xfId="9" applyNumberFormat="1" applyFont="1" applyFill="1" applyBorder="1" applyAlignment="1">
      <alignment vertical="center"/>
    </xf>
    <xf numFmtId="3" fontId="49" fillId="0" borderId="38" xfId="9" applyNumberFormat="1" applyFont="1" applyBorder="1" applyAlignment="1">
      <alignment vertical="center"/>
    </xf>
    <xf numFmtId="0" fontId="49" fillId="0" borderId="0" xfId="9" applyFont="1" applyAlignment="1">
      <alignment horizontal="center" vertical="center"/>
    </xf>
    <xf numFmtId="0" fontId="3" fillId="0" borderId="6" xfId="9" applyBorder="1" applyAlignment="1">
      <alignment vertical="center"/>
    </xf>
    <xf numFmtId="0" fontId="3" fillId="0" borderId="0" xfId="11" applyAlignment="1">
      <alignment vertical="center"/>
    </xf>
    <xf numFmtId="0" fontId="57" fillId="11" borderId="31" xfId="10" applyFont="1" applyFill="1" applyBorder="1" applyAlignment="1">
      <alignment horizontal="left" vertical="center" wrapText="1"/>
    </xf>
    <xf numFmtId="0" fontId="49" fillId="0" borderId="31" xfId="10" applyFont="1" applyBorder="1" applyAlignment="1">
      <alignment vertical="center" wrapText="1"/>
    </xf>
    <xf numFmtId="3" fontId="49" fillId="0" borderId="31" xfId="10" applyNumberFormat="1" applyFont="1" applyBorder="1" applyAlignment="1">
      <alignment vertical="center" wrapText="1"/>
    </xf>
    <xf numFmtId="0" fontId="49" fillId="0" borderId="30" xfId="10" applyFont="1" applyBorder="1" applyAlignment="1">
      <alignment vertical="center" wrapText="1"/>
    </xf>
    <xf numFmtId="3" fontId="49" fillId="0" borderId="30" xfId="10" applyNumberFormat="1" applyFont="1" applyBorder="1" applyAlignment="1">
      <alignment vertical="center" wrapText="1"/>
    </xf>
    <xf numFmtId="4" fontId="49" fillId="0" borderId="0" xfId="9" applyNumberFormat="1" applyFont="1" applyAlignment="1">
      <alignment vertical="center"/>
    </xf>
    <xf numFmtId="0" fontId="57" fillId="12" borderId="1" xfId="10" applyFont="1" applyFill="1" applyBorder="1" applyAlignment="1">
      <alignment vertical="center" wrapText="1"/>
    </xf>
    <xf numFmtId="3" fontId="57" fillId="12" borderId="1" xfId="10" applyNumberFormat="1" applyFont="1" applyFill="1" applyBorder="1" applyAlignment="1">
      <alignment vertical="center" wrapText="1"/>
    </xf>
    <xf numFmtId="0" fontId="49" fillId="11" borderId="31" xfId="10" applyFont="1" applyFill="1" applyBorder="1" applyAlignment="1">
      <alignment vertical="center" wrapText="1"/>
    </xf>
    <xf numFmtId="3" fontId="49" fillId="11" borderId="31" xfId="10" applyNumberFormat="1" applyFont="1" applyFill="1" applyBorder="1" applyAlignment="1">
      <alignment vertical="center" wrapText="1"/>
    </xf>
    <xf numFmtId="0" fontId="49" fillId="0" borderId="2" xfId="10" applyFont="1" applyBorder="1" applyAlignment="1">
      <alignment vertical="center" wrapText="1"/>
    </xf>
    <xf numFmtId="3" fontId="49" fillId="0" borderId="2" xfId="10" applyNumberFormat="1" applyFont="1" applyBorder="1" applyAlignment="1">
      <alignment vertical="center" wrapText="1"/>
    </xf>
    <xf numFmtId="3" fontId="49" fillId="0" borderId="22" xfId="10" applyNumberFormat="1" applyFont="1" applyBorder="1" applyAlignment="1">
      <alignment vertical="center" wrapText="1"/>
    </xf>
    <xf numFmtId="3" fontId="49" fillId="0" borderId="24" xfId="10" applyNumberFormat="1" applyFont="1" applyBorder="1" applyAlignment="1">
      <alignment vertical="center" wrapText="1"/>
    </xf>
    <xf numFmtId="0" fontId="49" fillId="0" borderId="38" xfId="9" applyFont="1" applyBorder="1" applyAlignment="1">
      <alignment vertical="center"/>
    </xf>
    <xf numFmtId="0" fontId="58" fillId="13" borderId="1" xfId="9" applyFont="1" applyFill="1" applyBorder="1" applyAlignment="1">
      <alignment vertical="center"/>
    </xf>
    <xf numFmtId="0" fontId="59" fillId="0" borderId="1" xfId="9" applyFont="1" applyBorder="1" applyAlignment="1">
      <alignment vertical="center"/>
    </xf>
    <xf numFmtId="3" fontId="60" fillId="0" borderId="1" xfId="9" applyNumberFormat="1" applyFont="1" applyBorder="1" applyAlignment="1">
      <alignment vertical="top"/>
    </xf>
    <xf numFmtId="3" fontId="60" fillId="13" borderId="1" xfId="9" applyNumberFormat="1" applyFont="1" applyFill="1" applyBorder="1" applyAlignment="1">
      <alignment vertical="top"/>
    </xf>
    <xf numFmtId="3" fontId="49" fillId="0" borderId="6" xfId="9" applyNumberFormat="1" applyFont="1" applyBorder="1" applyAlignment="1">
      <alignment vertical="center"/>
    </xf>
    <xf numFmtId="3" fontId="49" fillId="0" borderId="1" xfId="10" applyNumberFormat="1" applyFont="1" applyBorder="1" applyAlignment="1">
      <alignment vertical="center" wrapText="1"/>
    </xf>
    <xf numFmtId="171" fontId="49" fillId="0" borderId="39" xfId="9" applyNumberFormat="1" applyFont="1" applyBorder="1" applyAlignment="1">
      <alignment vertical="center"/>
    </xf>
    <xf numFmtId="171" fontId="49" fillId="0" borderId="15" xfId="9" applyNumberFormat="1" applyFont="1" applyBorder="1" applyAlignment="1">
      <alignment vertical="center"/>
    </xf>
    <xf numFmtId="171" fontId="49" fillId="0" borderId="1" xfId="9" applyNumberFormat="1" applyFont="1" applyBorder="1" applyAlignment="1">
      <alignment vertical="center"/>
    </xf>
    <xf numFmtId="172" fontId="3" fillId="0" borderId="0" xfId="3" applyNumberFormat="1" applyFont="1" applyAlignment="1">
      <alignment vertical="center"/>
    </xf>
    <xf numFmtId="10" fontId="3" fillId="0" borderId="0" xfId="3" applyNumberFormat="1" applyFont="1" applyAlignment="1">
      <alignment vertical="center"/>
    </xf>
    <xf numFmtId="10" fontId="47" fillId="2" borderId="36" xfId="3" applyNumberFormat="1" applyFont="1" applyFill="1" applyBorder="1" applyAlignment="1">
      <alignment horizontal="right" vertical="center"/>
    </xf>
    <xf numFmtId="0" fontId="61" fillId="0" borderId="0" xfId="12"/>
    <xf numFmtId="0" fontId="61" fillId="0" borderId="40" xfId="12" applyBorder="1" applyAlignment="1">
      <alignment horizontal="center"/>
    </xf>
    <xf numFmtId="0" fontId="62" fillId="0" borderId="41" xfId="12" applyFont="1" applyBorder="1"/>
    <xf numFmtId="2" fontId="61" fillId="0" borderId="42" xfId="12" applyNumberFormat="1" applyBorder="1" applyAlignment="1">
      <alignment horizontal="center"/>
    </xf>
    <xf numFmtId="0" fontId="61" fillId="0" borderId="42" xfId="12" applyBorder="1" applyAlignment="1">
      <alignment horizontal="center"/>
    </xf>
    <xf numFmtId="2" fontId="61" fillId="0" borderId="41" xfId="12" applyNumberFormat="1" applyBorder="1" applyAlignment="1">
      <alignment horizontal="center"/>
    </xf>
    <xf numFmtId="0" fontId="61" fillId="0" borderId="43" xfId="12" applyBorder="1"/>
    <xf numFmtId="2" fontId="61" fillId="0" borderId="0" xfId="12" applyNumberFormat="1" applyAlignment="1">
      <alignment horizontal="center"/>
    </xf>
    <xf numFmtId="0" fontId="61" fillId="0" borderId="0" xfId="12" applyAlignment="1">
      <alignment horizontal="center"/>
    </xf>
    <xf numFmtId="2" fontId="61" fillId="0" borderId="43" xfId="12" applyNumberFormat="1" applyBorder="1" applyAlignment="1">
      <alignment horizontal="center"/>
    </xf>
    <xf numFmtId="0" fontId="62" fillId="0" borderId="43" xfId="12" applyFont="1" applyBorder="1"/>
    <xf numFmtId="0" fontId="61" fillId="0" borderId="44" xfId="12" applyBorder="1"/>
    <xf numFmtId="2" fontId="61" fillId="0" borderId="45" xfId="12" applyNumberFormat="1" applyBorder="1" applyAlignment="1">
      <alignment horizontal="center"/>
    </xf>
    <xf numFmtId="0" fontId="61" fillId="0" borderId="45" xfId="12" applyBorder="1" applyAlignment="1">
      <alignment horizontal="center"/>
    </xf>
    <xf numFmtId="2" fontId="61" fillId="0" borderId="44" xfId="12" applyNumberFormat="1" applyBorder="1" applyAlignment="1">
      <alignment horizontal="center"/>
    </xf>
    <xf numFmtId="4" fontId="47" fillId="2" borderId="36" xfId="3" applyNumberFormat="1" applyFont="1" applyFill="1" applyBorder="1" applyAlignment="1">
      <alignment horizontal="left" vertical="center"/>
    </xf>
    <xf numFmtId="4" fontId="47" fillId="2" borderId="4" xfId="3" applyNumberFormat="1" applyFont="1" applyFill="1" applyBorder="1" applyAlignment="1">
      <alignment horizontal="left" vertical="center"/>
    </xf>
    <xf numFmtId="3" fontId="47" fillId="2" borderId="37" xfId="0" quotePrefix="1" applyNumberFormat="1" applyFont="1" applyFill="1" applyBorder="1" applyAlignment="1">
      <alignment horizontal="left"/>
    </xf>
    <xf numFmtId="9" fontId="47" fillId="2" borderId="0" xfId="3" applyNumberFormat="1" applyFont="1" applyFill="1" applyBorder="1" applyAlignment="1">
      <alignment horizontal="right" vertical="center"/>
    </xf>
    <xf numFmtId="173" fontId="2" fillId="2" borderId="0" xfId="3" applyNumberFormat="1" applyFont="1" applyFill="1" applyBorder="1" applyAlignment="1">
      <alignment horizontal="right" vertical="center"/>
    </xf>
    <xf numFmtId="3" fontId="63" fillId="0" borderId="0" xfId="9" applyNumberFormat="1" applyFont="1" applyAlignment="1">
      <alignment vertical="center"/>
    </xf>
    <xf numFmtId="15" fontId="0" fillId="2" borderId="0" xfId="0" applyNumberFormat="1" applyFill="1" applyBorder="1" applyAlignment="1">
      <alignment horizontal="right" vertical="center"/>
    </xf>
    <xf numFmtId="0" fontId="64" fillId="2" borderId="0" xfId="0" applyFont="1" applyFill="1" applyBorder="1" applyAlignment="1">
      <alignment horizontal="left" vertical="center" indent="2"/>
    </xf>
    <xf numFmtId="2" fontId="64" fillId="2" borderId="0" xfId="3" applyNumberFormat="1" applyFont="1" applyFill="1" applyBorder="1" applyAlignment="1">
      <alignment horizontal="right" vertical="center"/>
    </xf>
    <xf numFmtId="10" fontId="64" fillId="2" borderId="0" xfId="3" applyNumberFormat="1" applyFont="1" applyFill="1" applyBorder="1" applyAlignment="1">
      <alignment horizontal="right" vertical="center"/>
    </xf>
    <xf numFmtId="10" fontId="2" fillId="2" borderId="0" xfId="3" applyNumberFormat="1" applyFont="1" applyFill="1" applyBorder="1" applyAlignment="1">
      <alignment horizontal="right" vertical="center"/>
    </xf>
    <xf numFmtId="2" fontId="14" fillId="2" borderId="4" xfId="0" applyNumberFormat="1" applyFont="1" applyFill="1" applyBorder="1"/>
    <xf numFmtId="174" fontId="0" fillId="2" borderId="0" xfId="0" applyNumberFormat="1" applyFill="1" applyBorder="1" applyAlignment="1">
      <alignment horizontal="right" vertical="center"/>
    </xf>
    <xf numFmtId="4" fontId="3" fillId="0" borderId="0" xfId="9" applyNumberFormat="1" applyAlignment="1">
      <alignment vertical="center"/>
    </xf>
    <xf numFmtId="10" fontId="63" fillId="0" borderId="0" xfId="3" applyNumberFormat="1" applyFont="1" applyAlignment="1">
      <alignment vertical="center"/>
    </xf>
    <xf numFmtId="3" fontId="12" fillId="2" borderId="0" xfId="6" applyNumberFormat="1" applyFill="1" applyAlignment="1">
      <alignment horizontal="right" vertical="center"/>
    </xf>
    <xf numFmtId="0" fontId="1" fillId="2" borderId="0" xfId="0" applyFont="1" applyFill="1" applyAlignment="1">
      <alignment horizontal="right"/>
    </xf>
    <xf numFmtId="3" fontId="0" fillId="2" borderId="0" xfId="0" applyNumberForma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/>
    <xf numFmtId="175" fontId="0" fillId="2" borderId="0" xfId="0" applyNumberFormat="1" applyFill="1"/>
    <xf numFmtId="176" fontId="0" fillId="2" borderId="0" xfId="0" applyNumberFormat="1" applyFill="1"/>
    <xf numFmtId="175" fontId="65" fillId="2" borderId="0" xfId="0" applyNumberFormat="1" applyFont="1" applyFill="1"/>
    <xf numFmtId="10" fontId="0" fillId="2" borderId="0" xfId="3" applyNumberFormat="1" applyFont="1" applyFill="1"/>
    <xf numFmtId="10" fontId="65" fillId="2" borderId="0" xfId="3" applyNumberFormat="1" applyFont="1" applyFill="1" applyAlignment="1">
      <alignment horizontal="right" vertical="center"/>
    </xf>
    <xf numFmtId="10" fontId="65" fillId="2" borderId="0" xfId="3" applyNumberFormat="1" applyFont="1" applyFill="1"/>
    <xf numFmtId="164" fontId="0" fillId="2" borderId="0" xfId="0" applyNumberFormat="1" applyFill="1"/>
    <xf numFmtId="164" fontId="0" fillId="2" borderId="0" xfId="0" applyNumberFormat="1" applyFill="1" applyAlignment="1">
      <alignment horizontal="right" vertical="center"/>
    </xf>
    <xf numFmtId="0" fontId="65" fillId="2" borderId="0" xfId="0" applyFont="1" applyFill="1"/>
    <xf numFmtId="4" fontId="0" fillId="2" borderId="0" xfId="0" applyNumberFormat="1" applyFill="1"/>
    <xf numFmtId="168" fontId="0" fillId="2" borderId="0" xfId="0" applyNumberFormat="1" applyFill="1"/>
    <xf numFmtId="10" fontId="1" fillId="2" borderId="0" xfId="0" applyNumberFormat="1" applyFont="1" applyFill="1" applyBorder="1" applyAlignment="1">
      <alignment horizontal="right"/>
    </xf>
    <xf numFmtId="0" fontId="62" fillId="0" borderId="0" xfId="12" applyFont="1"/>
    <xf numFmtId="0" fontId="61" fillId="0" borderId="0" xfId="12"/>
    <xf numFmtId="0" fontId="61" fillId="0" borderId="0" xfId="12" applyAlignment="1">
      <alignment horizontal="left" vertical="top" wrapText="1"/>
    </xf>
    <xf numFmtId="0" fontId="49" fillId="9" borderId="7" xfId="9" applyFont="1" applyFill="1" applyBorder="1" applyAlignment="1">
      <alignment horizontal="center" vertical="center" wrapText="1"/>
    </xf>
    <xf numFmtId="0" fontId="49" fillId="9" borderId="13" xfId="9" applyFont="1" applyFill="1" applyBorder="1" applyAlignment="1">
      <alignment horizontal="center" vertical="center" wrapText="1"/>
    </xf>
    <xf numFmtId="0" fontId="49" fillId="9" borderId="15" xfId="9" applyFont="1" applyFill="1" applyBorder="1" applyAlignment="1">
      <alignment horizontal="center" vertical="center" wrapText="1"/>
    </xf>
    <xf numFmtId="0" fontId="32" fillId="0" borderId="32" xfId="4" applyFont="1" applyBorder="1" applyAlignment="1">
      <alignment horizontal="center"/>
    </xf>
    <xf numFmtId="0" fontId="7" fillId="0" borderId="33" xfId="4" applyBorder="1" applyAlignment="1">
      <alignment horizontal="center"/>
    </xf>
    <xf numFmtId="0" fontId="32" fillId="0" borderId="33" xfId="4" applyFont="1" applyBorder="1" applyAlignment="1">
      <alignment horizontal="center"/>
    </xf>
    <xf numFmtId="0" fontId="32" fillId="0" borderId="34" xfId="4" applyFont="1" applyBorder="1" applyAlignment="1">
      <alignment horizontal="center"/>
    </xf>
    <xf numFmtId="0" fontId="29" fillId="0" borderId="26" xfId="4" applyFont="1" applyBorder="1" applyAlignment="1">
      <alignment horizontal="center"/>
    </xf>
    <xf numFmtId="0" fontId="29" fillId="0" borderId="27" xfId="4" applyFont="1" applyBorder="1" applyAlignment="1">
      <alignment horizontal="center"/>
    </xf>
    <xf numFmtId="0" fontId="29" fillId="0" borderId="28" xfId="4" applyFont="1" applyBorder="1" applyAlignment="1">
      <alignment horizontal="center"/>
    </xf>
    <xf numFmtId="0" fontId="29" fillId="0" borderId="35" xfId="4" applyFont="1" applyBorder="1" applyAlignment="1">
      <alignment horizontal="center"/>
    </xf>
    <xf numFmtId="15" fontId="23" fillId="5" borderId="9" xfId="4" applyNumberFormat="1" applyFont="1" applyFill="1" applyBorder="1" applyAlignment="1">
      <alignment horizontal="left"/>
    </xf>
    <xf numFmtId="15" fontId="23" fillId="5" borderId="10" xfId="4" applyNumberFormat="1" applyFont="1" applyFill="1" applyBorder="1" applyAlignment="1">
      <alignment horizontal="left"/>
    </xf>
    <xf numFmtId="15" fontId="23" fillId="5" borderId="11" xfId="4" applyNumberFormat="1" applyFont="1" applyFill="1" applyBorder="1" applyAlignment="1">
      <alignment horizontal="left"/>
    </xf>
    <xf numFmtId="0" fontId="24" fillId="5" borderId="7" xfId="7" applyFill="1" applyBorder="1" applyAlignment="1" applyProtection="1">
      <alignment horizontal="left"/>
    </xf>
    <xf numFmtId="0" fontId="24" fillId="5" borderId="13" xfId="7" applyFill="1" applyBorder="1" applyAlignment="1" applyProtection="1">
      <alignment horizontal="left"/>
    </xf>
    <xf numFmtId="0" fontId="24" fillId="5" borderId="14" xfId="7" applyFill="1" applyBorder="1" applyAlignment="1" applyProtection="1">
      <alignment horizontal="left"/>
    </xf>
    <xf numFmtId="0" fontId="25" fillId="5" borderId="7" xfId="4" applyFont="1" applyFill="1" applyBorder="1" applyAlignment="1">
      <alignment horizontal="left"/>
    </xf>
    <xf numFmtId="0" fontId="25" fillId="5" borderId="13" xfId="4" applyFont="1" applyFill="1" applyBorder="1" applyAlignment="1">
      <alignment horizontal="left"/>
    </xf>
    <xf numFmtId="0" fontId="25" fillId="5" borderId="15" xfId="4" applyFont="1" applyFill="1" applyBorder="1" applyAlignment="1">
      <alignment horizontal="left"/>
    </xf>
    <xf numFmtId="0" fontId="25" fillId="5" borderId="14" xfId="4" applyFont="1" applyFill="1" applyBorder="1" applyAlignment="1">
      <alignment horizontal="left"/>
    </xf>
    <xf numFmtId="15" fontId="24" fillId="5" borderId="7" xfId="7" applyNumberFormat="1" applyFill="1" applyBorder="1" applyAlignment="1" applyProtection="1">
      <alignment horizontal="left"/>
    </xf>
    <xf numFmtId="15" fontId="24" fillId="5" borderId="13" xfId="7" applyNumberFormat="1" applyFill="1" applyBorder="1" applyAlignment="1" applyProtection="1">
      <alignment horizontal="left"/>
    </xf>
    <xf numFmtId="15" fontId="24" fillId="5" borderId="14" xfId="7" applyNumberFormat="1" applyFill="1" applyBorder="1" applyAlignment="1" applyProtection="1">
      <alignment horizontal="left"/>
    </xf>
    <xf numFmtId="0" fontId="24" fillId="5" borderId="7" xfId="7" applyFill="1" applyBorder="1" applyAlignment="1" applyProtection="1"/>
    <xf numFmtId="0" fontId="24" fillId="5" borderId="13" xfId="7" applyFill="1" applyBorder="1" applyAlignment="1" applyProtection="1"/>
    <xf numFmtId="0" fontId="24" fillId="5" borderId="14" xfId="7" applyFill="1" applyBorder="1" applyAlignment="1" applyProtection="1"/>
    <xf numFmtId="0" fontId="24" fillId="5" borderId="17" xfId="7" applyFill="1" applyBorder="1" applyAlignment="1" applyProtection="1">
      <alignment horizontal="left"/>
    </xf>
    <xf numFmtId="0" fontId="24" fillId="5" borderId="18" xfId="7" applyFill="1" applyBorder="1" applyAlignment="1" applyProtection="1">
      <alignment horizontal="left"/>
    </xf>
    <xf numFmtId="0" fontId="24" fillId="5" borderId="19" xfId="7" applyFill="1" applyBorder="1" applyAlignment="1" applyProtection="1">
      <alignment horizontal="left"/>
    </xf>
    <xf numFmtId="0" fontId="3" fillId="0" borderId="31" xfId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3" fillId="0" borderId="30" xfId="1" applyBorder="1" applyAlignment="1">
      <alignment horizontal="center" vertical="center" wrapText="1"/>
    </xf>
    <xf numFmtId="0" fontId="3" fillId="0" borderId="20" xfId="1" applyBorder="1" applyAlignment="1">
      <alignment horizontal="center" vertical="center" wrapText="1"/>
    </xf>
    <xf numFmtId="0" fontId="3" fillId="0" borderId="21" xfId="1" applyBorder="1" applyAlignment="1">
      <alignment horizontal="center" vertical="center" wrapText="1"/>
    </xf>
    <xf numFmtId="0" fontId="3" fillId="0" borderId="22" xfId="1" applyBorder="1" applyAlignment="1">
      <alignment horizontal="center" vertical="center" wrapText="1"/>
    </xf>
    <xf numFmtId="0" fontId="3" fillId="0" borderId="23" xfId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3" fillId="0" borderId="24" xfId="1" applyBorder="1" applyAlignment="1">
      <alignment horizontal="center" vertical="center" wrapText="1"/>
    </xf>
  </cellXfs>
  <cellStyles count="13">
    <cellStyle name="Cancel 2" xfId="10" xr:uid="{544B0BBF-A2AE-4161-96DE-F475415176E3}"/>
    <cellStyle name="Hipervínculo" xfId="6" builtinId="8"/>
    <cellStyle name="Hipervínculo 2" xfId="7" xr:uid="{8639CD5C-08E9-467B-A155-BC65ECC714E2}"/>
    <cellStyle name="Moneda 2" xfId="8" xr:uid="{08346DFE-98B1-46DD-B689-B2FC011FAE49}"/>
    <cellStyle name="Normal" xfId="0" builtinId="0"/>
    <cellStyle name="Normal 2" xfId="1" xr:uid="{419BDC84-883B-4AF2-A540-B6719B42CD74}"/>
    <cellStyle name="Normal 2 11 2" xfId="9" xr:uid="{E97F3A54-2B3E-4408-86FF-2C8C69713585}"/>
    <cellStyle name="Normal 3" xfId="2" xr:uid="{9101575E-A0DC-4445-A835-80BDF3FA1B8E}"/>
    <cellStyle name="Normal 4" xfId="4" xr:uid="{75707CD1-2007-4551-8EA6-EE9086C7DFDE}"/>
    <cellStyle name="Normal 5" xfId="12" xr:uid="{EB54AE92-9E90-44A8-BB12-85428E2320F7}"/>
    <cellStyle name="Normal 83" xfId="11" xr:uid="{CD3363D8-EF4F-41A7-A999-A705D507ECAC}"/>
    <cellStyle name="Porcentaje" xfId="3" builtinId="5"/>
    <cellStyle name="Porcentaje 2" xfId="5" xr:uid="{960EA486-1099-40E7-892C-9C47725D17E3}"/>
  </cellStyles>
  <dxfs count="61"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numFmt numFmtId="166" formatCode="0.0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4" formatCode="0.00%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border outline="0">
        <bottom style="thin">
          <color rgb="FF4472C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164" formatCode="_ * #,##0_ ;_ * \-#,##0_ ;_ * &quot;-&quot;??_ ;_ @_ "/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"/>
        <family val="1"/>
        <scheme val="none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"/>
        <family val="1"/>
        <scheme val="none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"/>
        <family val="1"/>
        <scheme val="none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"/>
        <family val="1"/>
        <scheme val="none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"/>
        <family val="1"/>
        <scheme val="none"/>
      </font>
      <numFmt numFmtId="14" formatCode="0.00%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border outline="0"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164" formatCode="_ * #,##0_ ;_ * \-#,##0_ ;_ * &quot;-&quot;??_ ;_ @_ 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12</xdr:col>
      <xdr:colOff>438150</xdr:colOff>
      <xdr:row>25</xdr:row>
      <xdr:rowOff>117329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600B16-53AE-46B4-8324-EF7F84F06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23825"/>
          <a:ext cx="9420225" cy="4756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1</xdr:row>
      <xdr:rowOff>19170</xdr:rowOff>
    </xdr:from>
    <xdr:to>
      <xdr:col>6</xdr:col>
      <xdr:colOff>277480</xdr:colOff>
      <xdr:row>14</xdr:row>
      <xdr:rowOff>717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2AA58B-BC94-46F8-A0E6-B036514E0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209670"/>
          <a:ext cx="4297030" cy="2458047"/>
        </a:xfrm>
        <a:prstGeom prst="rect">
          <a:avLst/>
        </a:prstGeom>
      </xdr:spPr>
    </xdr:pic>
    <xdr:clientData/>
  </xdr:twoCellAnchor>
  <xdr:twoCellAnchor editAs="oneCell">
    <xdr:from>
      <xdr:col>3</xdr:col>
      <xdr:colOff>246459</xdr:colOff>
      <xdr:row>17</xdr:row>
      <xdr:rowOff>89297</xdr:rowOff>
    </xdr:from>
    <xdr:to>
      <xdr:col>9</xdr:col>
      <xdr:colOff>513906</xdr:colOff>
      <xdr:row>28</xdr:row>
      <xdr:rowOff>137965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5BBA75-E97E-4998-8DE7-E4D126D35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32459" y="3327797"/>
          <a:ext cx="4839447" cy="2144168"/>
        </a:xfrm>
        <a:prstGeom prst="rect">
          <a:avLst/>
        </a:prstGeom>
      </xdr:spPr>
    </xdr:pic>
    <xdr:clientData/>
  </xdr:twoCellAnchor>
  <xdr:twoCellAnchor editAs="oneCell">
    <xdr:from>
      <xdr:col>0</xdr:col>
      <xdr:colOff>422671</xdr:colOff>
      <xdr:row>18</xdr:row>
      <xdr:rowOff>101462</xdr:rowOff>
    </xdr:from>
    <xdr:to>
      <xdr:col>7</xdr:col>
      <xdr:colOff>306152</xdr:colOff>
      <xdr:row>31</xdr:row>
      <xdr:rowOff>105301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F2522C-A447-48F2-A5F9-0B2BB360B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2671" y="3530462"/>
          <a:ext cx="5217481" cy="2480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496659</xdr:colOff>
      <xdr:row>14</xdr:row>
      <xdr:rowOff>168358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3127D2-516C-46A1-B647-7270F6BBD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54659" cy="2835358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1</xdr:row>
      <xdr:rowOff>57150</xdr:rowOff>
    </xdr:from>
    <xdr:to>
      <xdr:col>15</xdr:col>
      <xdr:colOff>48549</xdr:colOff>
      <xdr:row>18</xdr:row>
      <xdr:rowOff>105234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D03D5EB-9827-4E48-B333-5389D17DF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0" y="247650"/>
          <a:ext cx="6620799" cy="32865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757068</xdr:colOff>
      <xdr:row>16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9DC9F9-614E-4319-957F-EC28E9828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29068" cy="3076575"/>
        </a:xfrm>
        <a:prstGeom prst="rect">
          <a:avLst/>
        </a:prstGeom>
      </xdr:spPr>
    </xdr:pic>
    <xdr:clientData/>
  </xdr:twoCellAnchor>
  <xdr:twoCellAnchor editAs="oneCell">
    <xdr:from>
      <xdr:col>6</xdr:col>
      <xdr:colOff>714375</xdr:colOff>
      <xdr:row>0</xdr:row>
      <xdr:rowOff>142875</xdr:rowOff>
    </xdr:from>
    <xdr:to>
      <xdr:col>15</xdr:col>
      <xdr:colOff>667701</xdr:colOff>
      <xdr:row>18</xdr:row>
      <xdr:rowOff>181459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521DB8-8E3C-4177-91A2-0FD29D0AD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86375" y="142875"/>
          <a:ext cx="6811326" cy="34675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tes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prea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PRESUPUESTO/Partidas/partidas%202008/Dato%202004/PROYECCION/Proy%202005/Proy%20Plan%20estrat/Pry%20JCh%20200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7">
          <cell r="A7" t="str">
            <v>ACEITES Y GRASAS 3/</v>
          </cell>
        </row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Macro1"/>
      <sheetName val="Plan1"/>
      <sheetName val="Diálog1"/>
      <sheetName val="barracão"/>
      <sheetName val="barracão2"/>
      <sheetName val="RESUMO"/>
      <sheetName val="res"/>
      <sheetName val="resf"/>
      <sheetName val="Plan3"/>
      <sheetName val="DC"/>
      <sheetName val="EC"/>
      <sheetName val="PC"/>
      <sheetName val="E"/>
      <sheetName val="AL"/>
      <sheetName val="SE"/>
      <sheetName val="EI"/>
      <sheetName val="P"/>
      <sheetName val="AC"/>
      <sheetName val="SL"/>
      <sheetName val="SR"/>
      <sheetName val="SUB"/>
      <sheetName val="RESUA"/>
      <sheetName val="RESU2"/>
      <sheetName val="DC2"/>
      <sheetName val="EC2"/>
      <sheetName val="PC2"/>
      <sheetName val="AL2"/>
      <sheetName val="E2"/>
      <sheetName val="SE2"/>
      <sheetName val="EI2"/>
      <sheetName val="P2"/>
      <sheetName val="AC2"/>
      <sheetName val="SL2"/>
      <sheetName val="SR2"/>
      <sheetName val="SUB2"/>
      <sheetName val="DC3"/>
      <sheetName val="RESUB"/>
      <sheetName val="RESU3"/>
      <sheetName val="EC3"/>
      <sheetName val="PC3"/>
      <sheetName val="AL3"/>
      <sheetName val="E3"/>
      <sheetName val="SE3"/>
      <sheetName val="EI3"/>
      <sheetName val="P3"/>
      <sheetName val="AC3"/>
      <sheetName val="SL3"/>
      <sheetName val="SEMC"/>
      <sheetName val="SR3"/>
      <sheetName val="SEMA"/>
      <sheetName val="RESUC"/>
      <sheetName val="RESU4"/>
      <sheetName val="Macro2"/>
      <sheetName val="Plan2"/>
      <sheetName val="Plan4"/>
      <sheetName val="Plan5"/>
      <sheetName val="Plan6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ída"/>
      <sheetName val="Sheet2"/>
      <sheetName val="Entrada"/>
    </sheetNames>
    <sheetDataSet>
      <sheetData sheetId="0"/>
      <sheetData sheetId="1" refreshError="1">
        <row r="4">
          <cell r="G4">
            <v>37665.370833333334</v>
          </cell>
          <cell r="H4">
            <v>10710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Tc"/>
      <sheetName val="TUUA"/>
      <sheetName val="AD"/>
      <sheetName val="AD n"/>
      <sheetName val="AD i"/>
      <sheetName val="N diary"/>
      <sheetName val="I diary"/>
      <sheetName val="AD varios"/>
      <sheetName val="Graphs"/>
      <sheetName val="Proy"/>
    </sheetNames>
    <sheetDataSet>
      <sheetData sheetId="0"/>
      <sheetData sheetId="1"/>
      <sheetData sheetId="2">
        <row r="10">
          <cell r="C10">
            <v>74880</v>
          </cell>
        </row>
        <row r="63">
          <cell r="F63">
            <v>23.76</v>
          </cell>
          <cell r="G63">
            <v>0.19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F395EE-6D07-4956-A977-3B78BB209B92}" name="Tabla2" displayName="Tabla2" ref="E3:G97" totalsRowShown="0" headerRowDxfId="60" dataDxfId="58" headerRowBorderDxfId="59" tableBorderDxfId="57">
  <tableColumns count="3">
    <tableColumn id="1" xr3:uid="{4C467453-7C2F-419E-9F4B-791A29B8B098}" name="Año" dataDxfId="56" dataCellStyle="Hipervínculo">
      <calculatedColumnFormula>FuenteTasaLibreDeRiesgo!A8</calculatedColumnFormula>
    </tableColumn>
    <tableColumn id="2" xr3:uid="{01739442-0228-4099-8224-F273AF0F9B62}" name="Interés del bono a 10 años" dataDxfId="55" dataCellStyle="Porcentaje">
      <calculatedColumnFormula>FuenteTasaLibreDeRiesgo!B8</calculatedColumnFormula>
    </tableColumn>
    <tableColumn id="3" xr3:uid="{E82545A2-F34E-4FFB-A1C3-1EFECCBC859C}" name="Rentabilidad del bono a 10 años" dataDxfId="54" dataCellStyle="Hipervínculo">
      <calculatedColumnFormula>FuenteTasaLibreDeRiesgo!C8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1EC8B4-BEA6-4AB9-BFA0-CE28E31DB1F1}" name="Table1" displayName="Table1" ref="A18:R111" totalsRowShown="0" headerRowDxfId="53" headerRowBorderDxfId="52" tableBorderDxfId="51">
  <autoFilter ref="A18:R111" xr:uid="{8B8A3D03-EF3A-420F-8A00-A933D6E20A63}"/>
  <tableColumns count="18">
    <tableColumn id="1" xr3:uid="{BDA7CA31-C320-46EF-AD52-8F1438CE2291}" name="Year" dataDxfId="50"/>
    <tableColumn id="2" xr3:uid="{C7EA1AB7-B0D4-4DB8-8465-A96CDE63C0D4}" name="S&amp;P 500 (includes dividends)" dataDxfId="49"/>
    <tableColumn id="3" xr3:uid="{0014ADD5-0CF9-4CB0-8DAC-B726B537849B}" name="3-month T.Bill" dataDxfId="48"/>
    <tableColumn id="4" xr3:uid="{002AD442-00FF-45ED-ACBC-588E96A17A2E}" name="US T. Bond" dataDxfId="47"/>
    <tableColumn id="16" xr3:uid="{3B01A861-3AB9-4640-926B-D6F0C903597C}" name=" Baa Corporate Bond" dataDxfId="46"/>
    <tableColumn id="5" xr3:uid="{47BEBE73-2A3E-4FEF-AE6A-C37CAD721A2D}" name="S&amp;P 500 (includes dividends)3" dataDxfId="45"/>
    <tableColumn id="6" xr3:uid="{C7EA7CC0-2416-4C22-8AB4-4272A10E49CE}" name="3-month T.Bill4" dataDxfId="44"/>
    <tableColumn id="7" xr3:uid="{645E8FF3-8032-45CF-9466-680F30EAB0B2}" name="US T. Bond5" dataDxfId="43"/>
    <tableColumn id="17" xr3:uid="{63BF2D73-1686-497E-B993-DD671CB334B9}" name=" Baa Corporate Bond6" dataDxfId="42"/>
    <tableColumn id="8" xr3:uid="{B807AD00-7A43-4DE7-B7E3-E792F88DAE35}" name="Stocks - Bills" dataDxfId="41"/>
    <tableColumn id="9" xr3:uid="{254C60D1-D75F-4BDF-A87A-39CBCD483A91}" name="Stocks - Bonds" dataDxfId="40"/>
    <tableColumn id="18" xr3:uid="{9BAA3737-4C89-426B-8C43-7C224606664F}" name="Stocks - Baa Corp Bond" dataDxfId="39"/>
    <tableColumn id="10" xr3:uid="{766E5909-5559-438B-B015-719E8726981C}" name="Historical risk premium" dataDxfId="38"/>
    <tableColumn id="11" xr3:uid="{97898165-CD1A-4B3B-8575-4A8BD78D79AC}" name="Inflation Rate" dataDxfId="37"/>
    <tableColumn id="12" xr3:uid="{94537DF1-CD86-4C70-96E2-77E4C52EFA75}" name="S&amp;P 500 (includes dividends)2" dataDxfId="36"/>
    <tableColumn id="13" xr3:uid="{C9B2D66F-8DC5-46B1-A6FC-F9EA7CC47FCA}" name="3-month T. Bill (Real)" dataDxfId="35"/>
    <tableColumn id="14" xr3:uid="{0FC7FE57-22F9-4318-96D9-1FCC27BBA1F5}" name="!0-year T.Bonds" dataDxfId="34"/>
    <tableColumn id="19" xr3:uid="{FDBAEF94-BD5A-4789-986A-7948AAABF91E}" name="Baa Corp Bonds" dataDxfId="3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ECEED0-566F-4FED-B9AE-B2E37D6D88A2}" name="Tabla22" displayName="Tabla22" ref="E3:H97" totalsRowShown="0" headerRowDxfId="30" dataDxfId="28" headerRowBorderDxfId="29" tableBorderDxfId="27">
  <tableColumns count="4">
    <tableColumn id="1" xr3:uid="{A63DF80E-FA29-4665-BAD3-27B92441ED6E}" name="Año" dataDxfId="26" dataCellStyle="Hipervínculo">
      <calculatedColumnFormula>FuenteTasaLibreDeRiesgo!A8</calculatedColumnFormula>
    </tableColumn>
    <tableColumn id="2" xr3:uid="{09EF41C7-1AED-4BA4-9795-73A245001620}" name="Índice S&amp;P 500" dataDxfId="25" dataCellStyle="Porcentaje">
      <calculatedColumnFormula>FuenteRendimientoMercado!B3</calculatedColumnFormula>
    </tableColumn>
    <tableColumn id="4" xr3:uid="{B2E2392F-11C9-4A83-A142-4C0C4B621405}" name="Índice Dividendos S&amp;P 500" dataDxfId="24">
      <calculatedColumnFormula>FuenteRendimientoMercado!C3</calculatedColumnFormula>
    </tableColumn>
    <tableColumn id="3" xr3:uid="{42A29677-E59C-45FB-BF3E-CA82CD674E2F}" name="Rentabilidad S&amp;P 500" dataDxfId="23" dataCellStyle="Hipervínculo">
      <calculatedColumnFormula>(F5-F4+G5)/F4</calculatedColumnFormula>
    </tableColumn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83C91D9-78FB-4527-9D3C-5D19CCBACB66}" name="FuentesDeBetas" displayName="FuentesDeBetas" ref="E7:L8" totalsRowShown="0" headerRowDxfId="19" dataDxfId="18">
  <autoFilter ref="E7:L8" xr:uid="{032FABE2-6F4B-49A3-95AE-5041A32E3234}"/>
  <sortState xmlns:xlrd2="http://schemas.microsoft.com/office/spreadsheetml/2017/richdata2" ref="E8:L8">
    <sortCondition ref="E7:E8"/>
  </sortState>
  <tableColumns count="8">
    <tableColumn id="1" xr3:uid="{8CD097A0-B851-471F-A47B-417E5E81B62F}" name="Empresa" dataDxfId="17"/>
    <tableColumn id="2" xr3:uid="{483FCC69-B4E4-4A7A-926C-3CDB1D6D1FB1}" name="Año" dataDxfId="16"/>
    <tableColumn id="3" xr3:uid="{61B49931-BB77-479D-A4AD-61DAB1345742}" name="Fuente" dataDxfId="15"/>
    <tableColumn id="4" xr3:uid="{C053CE62-B921-4F8B-BC36-C0D78E7913D6}" name="Beta observado" dataDxfId="14"/>
    <tableColumn id="5" xr3:uid="{23EDCAE5-2541-41FD-A27E-93AF63981793}" name="Apalancamiento [D/E]" dataDxfId="13"/>
    <tableColumn id="6" xr3:uid="{E451243B-1D6A-4E1D-9AB5-B388FF9709A1}" name="Apalancamiento D/D+E" dataDxfId="12"/>
    <tableColumn id="7" xr3:uid="{D4F69A83-28B1-4081-B607-9D35F859EC77}" name="Tasa impositiva" dataDxfId="11"/>
    <tableColumn id="8" xr3:uid="{30DB2D87-D469-4A75-B4BD-65A6AAEF77FD}" name="Beta del activo" dataDxfId="1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7F09CEA-7C99-4E79-AA3C-992825AC431B}" name="Tabla6" displayName="Tabla6" ref="E7:L34" totalsRowShown="0" headerRowDxfId="9" dataDxfId="8">
  <autoFilter ref="E7:L34" xr:uid="{3BD0831A-4123-49D7-9190-3E579F45B77A}">
    <filterColumn colId="2">
      <filters>
        <filter val="SWISS ECONOMICS Betas for French airports based on empirical and regulatory evidence"/>
      </filters>
    </filterColumn>
  </autoFilter>
  <sortState xmlns:xlrd2="http://schemas.microsoft.com/office/spreadsheetml/2017/richdata2" ref="E8:L16">
    <sortCondition descending="1" ref="L7:L34"/>
  </sortState>
  <tableColumns count="8">
    <tableColumn id="1" xr3:uid="{2E4FD4C3-CA11-4E60-9A45-B6C697E8BA0B}" name="Empresa" dataDxfId="7"/>
    <tableColumn id="2" xr3:uid="{44331662-0EEC-488D-9CE9-629D25A3B7FE}" name="Año" dataDxfId="6"/>
    <tableColumn id="3" xr3:uid="{EC92847B-CBD7-44C6-896C-B8A870A85B23}" name="Fuente" dataDxfId="5"/>
    <tableColumn id="4" xr3:uid="{8FFC09CC-3451-4F9D-AE11-7D201F7746BB}" name="Beta observado" dataDxfId="4"/>
    <tableColumn id="5" xr3:uid="{C0A13DD7-F129-4837-821C-4798752B1EE3}" name="Apalancamiento [D/E]" dataDxfId="3"/>
    <tableColumn id="6" xr3:uid="{8B30626D-477F-4E2B-A10A-DE9B9D85D125}" name="Apalancamiento [D/(D+E)]" dataDxfId="2"/>
    <tableColumn id="7" xr3:uid="{CC398588-CBF3-4F6F-B7C4-47E169A88913}" name="Tasa impositiva" dataDxfId="1"/>
    <tableColumn id="8" xr3:uid="{7768C374-68CD-4E0E-BB2F-500B0ECE0187}" name="Beta del activo" dataDxfId="0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3F298BF-7E19-40A9-B3EC-64E281C13D81}" name="Tabla4" displayName="Tabla4" ref="D3:E12" totalsRowShown="0">
  <tableColumns count="2">
    <tableColumn id="1" xr3:uid="{C9099DBF-F1E2-4FEF-87F8-848767FB38AA}" name="Empresas públicas/mixtas de servicios de aeronavegacion"/>
    <tableColumn id="2" xr3:uid="{B19F76CF-CF08-4A83-B09A-B065AD863603}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EF%20MMM_2021_2024.pdf" TargetMode="External"/><Relationship Id="rId2" Type="http://schemas.openxmlformats.org/officeDocument/2006/relationships/hyperlink" Target="..\..\..\..\..\AppData\Roaming\Microsoft\Excel\MEF%20MMM_2021_2024.pdf" TargetMode="External"/><Relationship Id="rId1" Type="http://schemas.openxmlformats.org/officeDocument/2006/relationships/hyperlink" Target="https://www.statista.com/statistics/244993/projected-consumer-price-index-in-the-united-states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www.stern.nyu.edu/~adamodar/New_Home_Page/data.html" TargetMode="External"/><Relationship Id="rId7" Type="http://schemas.openxmlformats.org/officeDocument/2006/relationships/table" Target="../tables/table2.xml"/><Relationship Id="rId2" Type="http://schemas.openxmlformats.org/officeDocument/2006/relationships/hyperlink" Target="http://www.damodaran.com/" TargetMode="External"/><Relationship Id="rId1" Type="http://schemas.openxmlformats.org/officeDocument/2006/relationships/hyperlink" Target="mailto:adamodar@stern.nyu.edu?subject=Data%20on%20website" TargetMode="External"/><Relationship Id="rId6" Type="http://schemas.openxmlformats.org/officeDocument/2006/relationships/vmlDrawing" Target="../drawings/vmlDrawing1.vml"/><Relationship Id="rId5" Type="http://schemas.openxmlformats.org/officeDocument/2006/relationships/hyperlink" Target="http://www.stern.nyu.edu/~adamodar/New_Home_Page/datafile/variable.htm" TargetMode="External"/><Relationship Id="rId4" Type="http://schemas.openxmlformats.org/officeDocument/2006/relationships/hyperlink" Target="http://www.stern.nyu.edu/~adamodar/pc/datasets/indname.xls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estadisticas.bcrp.gob.pe/estadisticas/series/mensuales/resultados/PN01136XM/html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s://estadisticas.bcrp.gob.pe/estadisticas/series/mensuales/resultados/PN01131XM/html" TargetMode="External"/><Relationship Id="rId7" Type="http://schemas.openxmlformats.org/officeDocument/2006/relationships/hyperlink" Target="https://estadisticas.bcrp.gob.pe/estadisticas/series/mensuales/resultados/PN01135XM/html" TargetMode="External"/><Relationship Id="rId12" Type="http://schemas.openxmlformats.org/officeDocument/2006/relationships/hyperlink" Target="http://www.bcrp.gob.pe/docs/Estadisticas/Cuadros-Estadisticos/cuadro-035.xlsx" TargetMode="External"/><Relationship Id="rId2" Type="http://schemas.openxmlformats.org/officeDocument/2006/relationships/hyperlink" Target="https://estadisticas.bcrp.gob.pe/estadisticas/series/mensuales/resultados/PN01130XM/html" TargetMode="External"/><Relationship Id="rId1" Type="http://schemas.openxmlformats.org/officeDocument/2006/relationships/hyperlink" Target="https://estadisticas.bcrp.gob.pe/estadisticas/series/mensuales/resultados/PN01129XM/html" TargetMode="External"/><Relationship Id="rId6" Type="http://schemas.openxmlformats.org/officeDocument/2006/relationships/hyperlink" Target="https://estadisticas.bcrp.gob.pe/estadisticas/series/mensuales/resultados/PN01134XM/html" TargetMode="External"/><Relationship Id="rId11" Type="http://schemas.openxmlformats.org/officeDocument/2006/relationships/hyperlink" Target="https://estadisticas.bcrp.gob.pe/estadisticas/series/cuadros/notasemanalmensual/cn-035" TargetMode="External"/><Relationship Id="rId5" Type="http://schemas.openxmlformats.org/officeDocument/2006/relationships/hyperlink" Target="https://estadisticas.bcrp.gob.pe/estadisticas/series/mensuales/resultados/PN01133XM/html" TargetMode="External"/><Relationship Id="rId10" Type="http://schemas.openxmlformats.org/officeDocument/2006/relationships/hyperlink" Target="https://estadisticas.bcrp.gob.pe/estadisticas/series/mensuales/resultados/PN01138XM/html" TargetMode="External"/><Relationship Id="rId4" Type="http://schemas.openxmlformats.org/officeDocument/2006/relationships/hyperlink" Target="https://estadisticas.bcrp.gob.pe/estadisticas/series/mensuales/resultados/PN01132XM/html" TargetMode="External"/><Relationship Id="rId9" Type="http://schemas.openxmlformats.org/officeDocument/2006/relationships/hyperlink" Target="https://estadisticas.bcrp.gob.pe/estadisticas/series/mensuales/resultados/PN01137XM/html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72F50-8172-4E4D-A95F-EA795E550A92}">
  <sheetPr>
    <tabColor rgb="FFFFEEB7"/>
  </sheetPr>
  <dimension ref="A1:L25"/>
  <sheetViews>
    <sheetView zoomScaleNormal="100" workbookViewId="0">
      <pane xSplit="5" ySplit="8" topLeftCell="F9" activePane="bottomRight" state="frozenSplit"/>
      <selection activeCell="A10" sqref="A10"/>
      <selection pane="topRight" activeCell="A10" sqref="A10"/>
      <selection pane="bottomLeft" activeCell="A10" sqref="A10"/>
      <selection pane="bottomRight" activeCell="F17" sqref="F17"/>
    </sheetView>
  </sheetViews>
  <sheetFormatPr baseColWidth="10" defaultRowHeight="15"/>
  <cols>
    <col min="1" max="1" width="20.140625" style="288" customWidth="1"/>
    <col min="2" max="3" width="11.42578125" style="172"/>
    <col min="4" max="4" width="28" style="172" bestFit="1" customWidth="1"/>
    <col min="5" max="5" width="11.28515625" style="287" customWidth="1"/>
    <col min="6" max="11" width="12.5703125" style="172" customWidth="1"/>
    <col min="12" max="16384" width="11.42578125" style="172"/>
  </cols>
  <sheetData>
    <row r="1" spans="1:12" ht="11.25" customHeight="1">
      <c r="A1" s="286" t="s">
        <v>15</v>
      </c>
    </row>
    <row r="2" spans="1:12" ht="9" customHeight="1"/>
    <row r="3" spans="1:12" ht="8.25" customHeight="1"/>
    <row r="4" spans="1:12">
      <c r="D4" s="289" t="s">
        <v>420</v>
      </c>
    </row>
    <row r="5" spans="1:12">
      <c r="D5" s="287"/>
    </row>
    <row r="6" spans="1:12">
      <c r="D6" s="287"/>
    </row>
    <row r="7" spans="1:12">
      <c r="D7" s="290"/>
      <c r="E7" s="291">
        <v>2018</v>
      </c>
      <c r="F7" s="291">
        <v>2019</v>
      </c>
      <c r="G7" s="291">
        <v>2020</v>
      </c>
      <c r="H7" s="291">
        <v>2021</v>
      </c>
      <c r="I7" s="291">
        <v>2022</v>
      </c>
      <c r="J7" s="291">
        <v>2023</v>
      </c>
      <c r="K7" s="291">
        <v>2024</v>
      </c>
    </row>
    <row r="8" spans="1:12">
      <c r="D8" s="287"/>
      <c r="F8" s="292"/>
      <c r="G8" s="292"/>
      <c r="H8" s="292"/>
      <c r="I8" s="292"/>
      <c r="J8" s="292"/>
      <c r="K8" s="292"/>
    </row>
    <row r="9" spans="1:12">
      <c r="C9" s="172" t="s">
        <v>421</v>
      </c>
      <c r="D9" s="287" t="s">
        <v>422</v>
      </c>
      <c r="F9" s="293">
        <f t="shared" ref="F9:K9" si="0">F$10*F$18</f>
        <v>3.3380992485522718</v>
      </c>
      <c r="G9" s="293">
        <f t="shared" si="0"/>
        <v>3.4031243679094221</v>
      </c>
      <c r="H9" s="293">
        <f t="shared" si="0"/>
        <v>3.4343240523414948</v>
      </c>
      <c r="I9" s="293">
        <f t="shared" si="0"/>
        <v>3.4559881480393591</v>
      </c>
      <c r="J9" s="293">
        <f t="shared" si="0"/>
        <v>3.456854319211681</v>
      </c>
      <c r="K9" s="294">
        <f t="shared" si="0"/>
        <v>3.4541687856388594</v>
      </c>
      <c r="L9" s="143"/>
    </row>
    <row r="10" spans="1:12">
      <c r="A10" s="286" t="s">
        <v>423</v>
      </c>
      <c r="C10" s="172" t="s">
        <v>421</v>
      </c>
      <c r="D10" s="289" t="s">
        <v>424</v>
      </c>
      <c r="F10" s="295">
        <v>3.34</v>
      </c>
      <c r="G10" s="295">
        <v>3.45</v>
      </c>
      <c r="H10" s="295">
        <v>3.46</v>
      </c>
      <c r="I10" s="295">
        <v>3.46</v>
      </c>
      <c r="J10" s="295">
        <v>3.46</v>
      </c>
      <c r="K10" s="295">
        <v>3.46</v>
      </c>
      <c r="L10" s="288"/>
    </row>
    <row r="11" spans="1:12">
      <c r="D11" s="287"/>
      <c r="F11" s="143"/>
      <c r="G11" s="143"/>
      <c r="H11" s="143"/>
      <c r="I11" s="143"/>
      <c r="J11" s="143"/>
      <c r="K11" s="143"/>
      <c r="L11" s="143"/>
    </row>
    <row r="12" spans="1:12">
      <c r="C12" s="172" t="s">
        <v>430</v>
      </c>
      <c r="D12" s="289" t="s">
        <v>424</v>
      </c>
      <c r="F12" s="303">
        <f>1/F10</f>
        <v>0.29940119760479045</v>
      </c>
      <c r="G12" s="303">
        <f t="shared" ref="G12:K12" si="1">1/G10</f>
        <v>0.28985507246376813</v>
      </c>
      <c r="H12" s="303">
        <f t="shared" si="1"/>
        <v>0.28901734104046245</v>
      </c>
      <c r="I12" s="303">
        <f t="shared" si="1"/>
        <v>0.28901734104046245</v>
      </c>
      <c r="J12" s="303">
        <f t="shared" si="1"/>
        <v>0.28901734104046245</v>
      </c>
      <c r="K12" s="303">
        <f t="shared" si="1"/>
        <v>0.28901734104046245</v>
      </c>
      <c r="L12" s="143"/>
    </row>
    <row r="13" spans="1:12">
      <c r="D13" s="287" t="s">
        <v>431</v>
      </c>
      <c r="F13" s="143"/>
      <c r="G13" s="296">
        <f>G12/F12-1</f>
        <v>-3.1884057971014568E-2</v>
      </c>
      <c r="H13" s="296">
        <f t="shared" ref="H13:K13" si="2">H12/G12-1</f>
        <v>-2.8901734104045396E-3</v>
      </c>
      <c r="I13" s="296">
        <f t="shared" si="2"/>
        <v>0</v>
      </c>
      <c r="J13" s="296">
        <f t="shared" si="2"/>
        <v>0</v>
      </c>
      <c r="K13" s="296">
        <f t="shared" si="2"/>
        <v>0</v>
      </c>
      <c r="L13" s="296">
        <f>AVERAGE(H13:K13)</f>
        <v>-7.2254335260113489E-4</v>
      </c>
    </row>
    <row r="14" spans="1:12">
      <c r="D14" s="287"/>
      <c r="F14" s="143"/>
      <c r="G14" s="143"/>
      <c r="H14" s="143"/>
      <c r="I14" s="143"/>
      <c r="J14" s="143"/>
      <c r="K14" s="143"/>
      <c r="L14" s="143"/>
    </row>
    <row r="15" spans="1:12">
      <c r="D15" s="287"/>
      <c r="F15" s="143"/>
      <c r="G15" s="143"/>
      <c r="H15" s="143"/>
      <c r="I15" s="143"/>
      <c r="J15" s="143"/>
      <c r="K15" s="143"/>
      <c r="L15" s="143"/>
    </row>
    <row r="16" spans="1:12">
      <c r="D16" s="287" t="s">
        <v>425</v>
      </c>
      <c r="F16" s="296">
        <f t="shared" ref="F16:K16" si="3">F21/E21-1</f>
        <v>1.8120270808442918E-2</v>
      </c>
      <c r="G16" s="296">
        <f t="shared" si="3"/>
        <v>1.5216115783297512E-2</v>
      </c>
      <c r="H16" s="296">
        <f t="shared" si="3"/>
        <v>2.7625799491407754E-2</v>
      </c>
      <c r="I16" s="296">
        <f t="shared" si="3"/>
        <v>2.1184057590641681E-2</v>
      </c>
      <c r="J16" s="296">
        <f t="shared" si="3"/>
        <v>2.0928183286826219E-2</v>
      </c>
      <c r="K16" s="296">
        <f t="shared" si="3"/>
        <v>2.1721930518593169E-2</v>
      </c>
      <c r="L16" s="296">
        <f>AVERAGE(H16:K16)</f>
        <v>2.2864992721867206E-2</v>
      </c>
    </row>
    <row r="17" spans="1:12">
      <c r="A17" s="286" t="s">
        <v>423</v>
      </c>
      <c r="D17" s="287" t="s">
        <v>426</v>
      </c>
      <c r="F17" s="297">
        <v>1.8700000000000001E-2</v>
      </c>
      <c r="G17" s="298">
        <v>2.92E-2</v>
      </c>
      <c r="H17" s="298">
        <v>0.02</v>
      </c>
      <c r="I17" s="298">
        <v>0.02</v>
      </c>
      <c r="J17" s="298">
        <v>0.02</v>
      </c>
      <c r="K17" s="298">
        <v>0.02</v>
      </c>
      <c r="L17" s="143"/>
    </row>
    <row r="18" spans="1:12">
      <c r="D18" s="287" t="s">
        <v>427</v>
      </c>
      <c r="F18" s="296">
        <f>(1+F$16)/(1+F$17)</f>
        <v>0.99943091274020124</v>
      </c>
      <c r="G18" s="296">
        <f>(1+G$16)/(1+G$17)</f>
        <v>0.98641286026360053</v>
      </c>
      <c r="H18" s="296">
        <f>(1+H$17)/(1+H$16)</f>
        <v>0.9925792058790448</v>
      </c>
      <c r="I18" s="296">
        <f>(1+I$17)/(1+I$16)</f>
        <v>0.99884050521368761</v>
      </c>
      <c r="J18" s="296">
        <f>(1+J$17)/(1+J$16)</f>
        <v>0.99909084370279799</v>
      </c>
      <c r="K18" s="296">
        <f>(1+K$17)/(1+K$16)</f>
        <v>0.99831467793030615</v>
      </c>
      <c r="L18" s="143"/>
    </row>
    <row r="19" spans="1:12">
      <c r="D19" s="287"/>
      <c r="F19" s="292"/>
      <c r="G19" s="292"/>
      <c r="H19" s="292"/>
      <c r="I19" s="292"/>
      <c r="J19" s="292"/>
      <c r="K19" s="292"/>
      <c r="L19" s="143"/>
    </row>
    <row r="20" spans="1:12">
      <c r="D20" s="287"/>
      <c r="F20" s="299"/>
      <c r="G20" s="300"/>
      <c r="H20" s="300"/>
      <c r="I20" s="300"/>
      <c r="J20" s="300"/>
      <c r="K20" s="300"/>
      <c r="L20" s="143"/>
    </row>
    <row r="21" spans="1:12">
      <c r="A21" s="286" t="s">
        <v>428</v>
      </c>
      <c r="D21" s="287" t="s">
        <v>429</v>
      </c>
      <c r="E21" s="301">
        <v>251.1</v>
      </c>
      <c r="F21" s="301">
        <v>255.65</v>
      </c>
      <c r="G21" s="301">
        <v>259.54000000000002</v>
      </c>
      <c r="H21" s="301">
        <v>266.70999999999998</v>
      </c>
      <c r="I21" s="301">
        <v>272.36</v>
      </c>
      <c r="J21" s="301">
        <v>278.06</v>
      </c>
      <c r="K21" s="301">
        <v>284.10000000000002</v>
      </c>
    </row>
    <row r="25" spans="1:12">
      <c r="F25" s="302"/>
      <c r="G25" s="302"/>
      <c r="H25" s="302"/>
      <c r="I25" s="302"/>
      <c r="J25" s="302"/>
      <c r="K25" s="302"/>
    </row>
  </sheetData>
  <hyperlinks>
    <hyperlink ref="A21" r:id="rId1" location=":~:text=In%202020%2C%20the%20annual%20Consumer,projected%20to%20be%202.44%20percent.&amp;text=According%20to%20data%20published%20by,period%20of%201982%20to%201984." display="https://www.statista.com/statistics/244993/projected-consumer-price-index-in-the-united-states/#:~:text=In%202020%2C%20the%20annual%20Consumer,projected%20to%20be%202.44%20percent.&amp;text=According%20to%20data%20published%20by,period%20of%201982%20to%201984." xr:uid="{8434EBA9-7FF0-48FD-AA61-B7122C9D2B95}"/>
    <hyperlink ref="A1" location="Indice!A1" display="Índice" xr:uid="{7DD0FA9E-9322-48A6-B2ED-C052D979519B}"/>
    <hyperlink ref="A10" r:id="rId2" xr:uid="{DB10303C-478E-4146-9F5E-721432F5DF09}"/>
    <hyperlink ref="A17" r:id="rId3" xr:uid="{BF7D7AC6-6820-42E3-9C83-24594F1DE36B}"/>
  </hyperlinks>
  <pageMargins left="0.7" right="0.7" top="0.75" bottom="0.75" header="0.3" footer="0.3"/>
  <pageSetup orientation="portrait" horizontalDpi="1200" verticalDpi="120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4C685-7ADE-4969-971D-4A58F110A064}">
  <dimension ref="A1:T97"/>
  <sheetViews>
    <sheetView zoomScale="145" zoomScaleNormal="145" workbookViewId="0">
      <pane ySplit="9" topLeftCell="A83" activePane="bottomLeft" state="frozenSplit"/>
      <selection pane="bottomLeft"/>
    </sheetView>
  </sheetViews>
  <sheetFormatPr baseColWidth="10" defaultRowHeight="15"/>
  <cols>
    <col min="1" max="1" width="11.42578125" style="9"/>
    <col min="2" max="2" width="2" style="1" customWidth="1"/>
    <col min="3" max="3" width="33.28515625" style="1" bestFit="1" customWidth="1"/>
    <col min="4" max="4" width="6.5703125" style="1" customWidth="1"/>
    <col min="5" max="5" width="16.42578125" style="39" customWidth="1"/>
    <col min="6" max="7" width="22" style="40" customWidth="1"/>
    <col min="8" max="9" width="10" style="1" customWidth="1"/>
    <col min="10" max="16384" width="11.42578125" style="1"/>
  </cols>
  <sheetData>
    <row r="1" spans="1:20">
      <c r="A1" s="35" t="s">
        <v>15</v>
      </c>
      <c r="F1" s="39"/>
      <c r="G1" s="39"/>
    </row>
    <row r="2" spans="1:20" s="34" customFormat="1">
      <c r="B2" s="1"/>
      <c r="C2" s="1"/>
      <c r="D2" s="1"/>
      <c r="E2" s="39"/>
      <c r="F2" s="39"/>
      <c r="G2" s="3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s="34" customFormat="1">
      <c r="A3" s="9"/>
      <c r="B3" s="1"/>
      <c r="C3" s="37" t="s">
        <v>87</v>
      </c>
      <c r="D3" s="2"/>
      <c r="E3" s="37" t="s">
        <v>11</v>
      </c>
      <c r="F3" s="37" t="s">
        <v>12</v>
      </c>
      <c r="G3" s="37" t="s">
        <v>16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s="34" customFormat="1">
      <c r="A4" s="9"/>
      <c r="B4" s="1"/>
      <c r="C4" s="38">
        <f>AVERAGE($G$5:$G$97)</f>
        <v>5.2128747076616674E-2</v>
      </c>
      <c r="D4" s="2"/>
      <c r="E4" s="41">
        <f>FuenteTasaLibreDeRiesgo!A8</f>
        <v>1927</v>
      </c>
      <c r="F4" s="42">
        <f>FuenteTasaLibreDeRiesgo!B8</f>
        <v>3.1699999999999999E-2</v>
      </c>
      <c r="G4" s="43" t="s">
        <v>13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s="34" customFormat="1">
      <c r="A5" s="9"/>
      <c r="B5" s="1"/>
      <c r="C5" s="282"/>
      <c r="D5" s="1"/>
      <c r="E5" s="41">
        <f>FuenteTasaLibreDeRiesgo!A9</f>
        <v>1928</v>
      </c>
      <c r="F5" s="42">
        <f>FuenteTasaLibreDeRiesgo!B9</f>
        <v>3.4500000000000003E-2</v>
      </c>
      <c r="G5" s="44">
        <f>FuenteTasaLibreDeRiesgo!C9</f>
        <v>8.354708589799302E-3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s="34" customFormat="1">
      <c r="A6" s="9"/>
      <c r="B6" s="1"/>
      <c r="C6" s="1"/>
      <c r="D6" s="1"/>
      <c r="E6" s="41">
        <f>FuenteTasaLibreDeRiesgo!A10</f>
        <v>1929</v>
      </c>
      <c r="F6" s="45">
        <f>FuenteTasaLibreDeRiesgo!B10</f>
        <v>3.3599999999999998E-2</v>
      </c>
      <c r="G6" s="44">
        <f>FuenteTasaLibreDeRiesgo!C10</f>
        <v>4.2038041563204259E-2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s="34" customFormat="1">
      <c r="A7" s="9"/>
      <c r="B7" s="1"/>
      <c r="C7" s="1"/>
      <c r="D7" s="3"/>
      <c r="E7" s="41">
        <f>FuenteTasaLibreDeRiesgo!A11</f>
        <v>1930</v>
      </c>
      <c r="F7" s="45">
        <f>FuenteTasaLibreDeRiesgo!B11</f>
        <v>3.2199999999999999E-2</v>
      </c>
      <c r="G7" s="44">
        <f>FuenteTasaLibreDeRiesgo!C11</f>
        <v>4.5409314348970366E-2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s="34" customFormat="1">
      <c r="A8" s="9"/>
      <c r="B8" s="1"/>
      <c r="C8" s="1"/>
      <c r="D8" s="3"/>
      <c r="E8" s="41">
        <f>FuenteTasaLibreDeRiesgo!A12</f>
        <v>1931</v>
      </c>
      <c r="F8" s="45">
        <f>FuenteTasaLibreDeRiesgo!B12</f>
        <v>3.9300000000000002E-2</v>
      </c>
      <c r="G8" s="44">
        <f>FuenteTasaLibreDeRiesgo!C12</f>
        <v>-2.5588559619422531E-2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s="34" customFormat="1">
      <c r="A9" s="9"/>
      <c r="B9" s="1"/>
      <c r="C9" s="1"/>
      <c r="D9" s="1"/>
      <c r="E9" s="41">
        <f>FuenteTasaLibreDeRiesgo!A13</f>
        <v>1932</v>
      </c>
      <c r="F9" s="45">
        <f>FuenteTasaLibreDeRiesgo!B13</f>
        <v>3.3500000000000002E-2</v>
      </c>
      <c r="G9" s="44">
        <f>FuenteTasaLibreDeRiesgo!C13</f>
        <v>8.7903069904773257E-2</v>
      </c>
      <c r="H9" s="8"/>
      <c r="I9" s="8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34" customFormat="1">
      <c r="A10" s="9"/>
      <c r="B10" s="1"/>
      <c r="C10" s="1"/>
      <c r="D10" s="1"/>
      <c r="E10" s="41">
        <f>FuenteTasaLibreDeRiesgo!A14</f>
        <v>1933</v>
      </c>
      <c r="F10" s="45">
        <f>FuenteTasaLibreDeRiesgo!B14</f>
        <v>3.5299999999999998E-2</v>
      </c>
      <c r="G10" s="44">
        <f>FuenteTasaLibreDeRiesgo!C14</f>
        <v>1.8552720891857361E-2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s="34" customFormat="1">
      <c r="A11" s="9"/>
      <c r="B11" s="1"/>
      <c r="C11" s="10"/>
      <c r="D11" s="4"/>
      <c r="E11" s="41">
        <f>FuenteTasaLibreDeRiesgo!A15</f>
        <v>1934</v>
      </c>
      <c r="F11" s="45">
        <f>FuenteTasaLibreDeRiesgo!B15</f>
        <v>3.0099999999999998E-2</v>
      </c>
      <c r="G11" s="44">
        <f>FuenteTasaLibreDeRiesgo!C15</f>
        <v>7.9634426179656104E-2</v>
      </c>
      <c r="H11" s="10"/>
      <c r="I11" s="1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s="34" customFormat="1">
      <c r="A12" s="9"/>
      <c r="B12" s="1"/>
      <c r="C12" s="1"/>
      <c r="D12" s="1"/>
      <c r="E12" s="41">
        <f>FuenteTasaLibreDeRiesgo!A16</f>
        <v>1935</v>
      </c>
      <c r="F12" s="45">
        <f>FuenteTasaLibreDeRiesgo!B16</f>
        <v>2.8400000000000002E-2</v>
      </c>
      <c r="G12" s="44">
        <f>FuenteTasaLibreDeRiesgo!C16</f>
        <v>4.4720477296566127E-2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s="34" customFormat="1">
      <c r="A13" s="9"/>
      <c r="B13" s="9"/>
      <c r="C13" s="9"/>
      <c r="D13" s="1"/>
      <c r="E13" s="46">
        <f>FuenteTasaLibreDeRiesgo!A17</f>
        <v>1936</v>
      </c>
      <c r="F13" s="45">
        <f>FuenteTasaLibreDeRiesgo!B17</f>
        <v>2.5899999999999999E-2</v>
      </c>
      <c r="G13" s="45">
        <f>FuenteTasaLibreDeRiesgo!C17</f>
        <v>5.0178754045450601E-2</v>
      </c>
      <c r="H13" s="9"/>
      <c r="I13" s="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34" customFormat="1">
      <c r="A14" s="9"/>
      <c r="B14" s="9"/>
      <c r="C14" s="8"/>
      <c r="D14" s="1"/>
      <c r="E14" s="41">
        <f>FuenteTasaLibreDeRiesgo!A18</f>
        <v>1937</v>
      </c>
      <c r="F14" s="45">
        <f>FuenteTasaLibreDeRiesgo!B18</f>
        <v>2.7300000000000001E-2</v>
      </c>
      <c r="G14" s="44">
        <f>FuenteTasaLibreDeRiesgo!C18</f>
        <v>1.379146059646038E-2</v>
      </c>
      <c r="H14" s="8"/>
      <c r="I14" s="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34" customFormat="1">
      <c r="A15" s="9"/>
      <c r="B15" s="9"/>
      <c r="C15" s="8"/>
      <c r="D15" s="1"/>
      <c r="E15" s="41">
        <f>FuenteTasaLibreDeRiesgo!A19</f>
        <v>1938</v>
      </c>
      <c r="F15" s="45">
        <f>FuenteTasaLibreDeRiesgo!B19</f>
        <v>2.5600000000000001E-2</v>
      </c>
      <c r="G15" s="44">
        <f>FuenteTasaLibreDeRiesgo!C19</f>
        <v>4.2132485322046068E-2</v>
      </c>
      <c r="H15" s="8"/>
      <c r="I15" s="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34" customFormat="1">
      <c r="A16" s="9"/>
      <c r="B16" s="1"/>
      <c r="C16" s="8"/>
      <c r="D16" s="1"/>
      <c r="E16" s="41">
        <f>FuenteTasaLibreDeRiesgo!A20</f>
        <v>1939</v>
      </c>
      <c r="F16" s="45">
        <f>FuenteTasaLibreDeRiesgo!B20</f>
        <v>2.35E-2</v>
      </c>
      <c r="G16" s="44">
        <f>FuenteTasaLibreDeRiesgo!C20</f>
        <v>4.4122613942060671E-2</v>
      </c>
      <c r="H16" s="8"/>
      <c r="I16" s="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s="34" customFormat="1">
      <c r="A17" s="9"/>
      <c r="B17" s="1"/>
      <c r="C17" s="8"/>
      <c r="D17" s="1"/>
      <c r="E17" s="41">
        <f>FuenteTasaLibreDeRiesgo!A21</f>
        <v>1940</v>
      </c>
      <c r="F17" s="45">
        <f>FuenteTasaLibreDeRiesgo!B21</f>
        <v>2.01E-2</v>
      </c>
      <c r="G17" s="44">
        <f>FuenteTasaLibreDeRiesgo!C21</f>
        <v>5.4024815962845509E-2</v>
      </c>
      <c r="H17" s="8"/>
      <c r="I17" s="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s="34" customFormat="1">
      <c r="A18" s="9"/>
      <c r="B18" s="1"/>
      <c r="C18" s="8"/>
      <c r="D18" s="1"/>
      <c r="E18" s="41">
        <f>FuenteTasaLibreDeRiesgo!A22</f>
        <v>1941</v>
      </c>
      <c r="F18" s="45">
        <f>FuenteTasaLibreDeRiesgo!B22</f>
        <v>2.47E-2</v>
      </c>
      <c r="G18" s="44">
        <f>FuenteTasaLibreDeRiesgo!C22</f>
        <v>-2.0221975848580105E-2</v>
      </c>
      <c r="H18" s="8"/>
      <c r="I18" s="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s="34" customFormat="1">
      <c r="A19" s="9"/>
      <c r="B19" s="1"/>
      <c r="C19" s="8"/>
      <c r="D19" s="1"/>
      <c r="E19" s="41">
        <f>FuenteTasaLibreDeRiesgo!A23</f>
        <v>1942</v>
      </c>
      <c r="F19" s="45">
        <f>FuenteTasaLibreDeRiesgo!B23</f>
        <v>2.4899999999999999E-2</v>
      </c>
      <c r="G19" s="44">
        <f>FuenteTasaLibreDeRiesgo!C23</f>
        <v>2.2948682374484164E-2</v>
      </c>
      <c r="H19" s="8"/>
      <c r="I19" s="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34" customFormat="1">
      <c r="A20" s="9"/>
      <c r="B20" s="1"/>
      <c r="C20" s="8"/>
      <c r="D20" s="1"/>
      <c r="E20" s="41">
        <f>FuenteTasaLibreDeRiesgo!A24</f>
        <v>1943</v>
      </c>
      <c r="F20" s="45">
        <f>FuenteTasaLibreDeRiesgo!B24</f>
        <v>2.4899999999999999E-2</v>
      </c>
      <c r="G20" s="44">
        <f>FuenteTasaLibreDeRiesgo!C24</f>
        <v>2.4899999999999999E-2</v>
      </c>
      <c r="H20" s="8"/>
      <c r="I20" s="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s="34" customFormat="1">
      <c r="A21" s="9"/>
      <c r="B21" s="1"/>
      <c r="C21" s="8"/>
      <c r="D21" s="1"/>
      <c r="E21" s="41">
        <f>FuenteTasaLibreDeRiesgo!A25</f>
        <v>1944</v>
      </c>
      <c r="F21" s="45">
        <f>FuenteTasaLibreDeRiesgo!B25</f>
        <v>2.4799999999999999E-2</v>
      </c>
      <c r="G21" s="44">
        <f>FuenteTasaLibreDeRiesgo!C25</f>
        <v>2.5776111579070303E-2</v>
      </c>
      <c r="H21" s="8"/>
      <c r="I21" s="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s="34" customFormat="1">
      <c r="A22" s="9"/>
      <c r="B22" s="1"/>
      <c r="C22" s="1"/>
      <c r="D22" s="1"/>
      <c r="E22" s="41">
        <f>FuenteTasaLibreDeRiesgo!A26</f>
        <v>1945</v>
      </c>
      <c r="F22" s="45">
        <f>FuenteTasaLibreDeRiesgo!B26</f>
        <v>2.3300000000000001E-2</v>
      </c>
      <c r="G22" s="44">
        <f>FuenteTasaLibreDeRiesgo!C26</f>
        <v>3.8044173419237229E-2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s="34" customFormat="1">
      <c r="A23" s="9"/>
      <c r="B23" s="1"/>
      <c r="C23" s="1"/>
      <c r="D23" s="1"/>
      <c r="E23" s="46">
        <f>FuenteTasaLibreDeRiesgo!A27</f>
        <v>1946</v>
      </c>
      <c r="F23" s="45">
        <f>FuenteTasaLibreDeRiesgo!B27</f>
        <v>2.24E-2</v>
      </c>
      <c r="G23" s="45">
        <f>FuenteTasaLibreDeRiesgo!C27</f>
        <v>3.1283745375695685E-2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s="34" customFormat="1">
      <c r="A24" s="9"/>
      <c r="B24" s="1"/>
      <c r="C24" s="1"/>
      <c r="D24" s="1"/>
      <c r="E24" s="41">
        <f>FuenteTasaLibreDeRiesgo!A28</f>
        <v>1947</v>
      </c>
      <c r="F24" s="45">
        <f>FuenteTasaLibreDeRiesgo!B28</f>
        <v>2.3900000000000001E-2</v>
      </c>
      <c r="G24" s="44">
        <f>FuenteTasaLibreDeRiesgo!C28</f>
        <v>9.1969680628322358E-3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s="34" customFormat="1">
      <c r="A25" s="9"/>
      <c r="B25" s="1"/>
      <c r="C25" s="1"/>
      <c r="D25" s="1"/>
      <c r="E25" s="41">
        <f>FuenteTasaLibreDeRiesgo!A29</f>
        <v>1948</v>
      </c>
      <c r="F25" s="45">
        <f>FuenteTasaLibreDeRiesgo!B29</f>
        <v>2.4400000000000002E-2</v>
      </c>
      <c r="G25" s="44">
        <f>FuenteTasaLibreDeRiesgo!C29</f>
        <v>1.9510369413175046E-2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s="34" customFormat="1">
      <c r="A26" s="9"/>
      <c r="B26" s="1"/>
      <c r="C26" s="1"/>
      <c r="D26" s="1"/>
      <c r="E26" s="41">
        <f>FuenteTasaLibreDeRiesgo!A30</f>
        <v>1949</v>
      </c>
      <c r="F26" s="45">
        <f>FuenteTasaLibreDeRiesgo!B30</f>
        <v>2.1899999999999999E-2</v>
      </c>
      <c r="G26" s="44">
        <f>FuenteTasaLibreDeRiesgo!C30</f>
        <v>4.6634851827973139E-2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s="34" customFormat="1">
      <c r="A27" s="9"/>
      <c r="B27" s="1"/>
      <c r="C27" s="1"/>
      <c r="D27" s="1"/>
      <c r="E27" s="41">
        <f>FuenteTasaLibreDeRiesgo!A31</f>
        <v>1950</v>
      </c>
      <c r="F27" s="45">
        <f>FuenteTasaLibreDeRiesgo!B31</f>
        <v>2.3900000000000001E-2</v>
      </c>
      <c r="G27" s="44">
        <f>FuenteTasaLibreDeRiesgo!C31</f>
        <v>4.2959574171096103E-3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s="34" customFormat="1">
      <c r="A28" s="9"/>
      <c r="B28" s="1"/>
      <c r="C28" s="1"/>
      <c r="D28" s="1"/>
      <c r="E28" s="41">
        <f>FuenteTasaLibreDeRiesgo!A32</f>
        <v>1951</v>
      </c>
      <c r="F28" s="45">
        <f>FuenteTasaLibreDeRiesgo!B32</f>
        <v>2.7E-2</v>
      </c>
      <c r="G28" s="44">
        <f>FuenteTasaLibreDeRiesgo!C32</f>
        <v>-2.9531392208319886E-3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s="34" customFormat="1">
      <c r="A29" s="9"/>
      <c r="B29" s="1"/>
      <c r="C29" s="1"/>
      <c r="D29" s="1"/>
      <c r="E29" s="41">
        <f>FuenteTasaLibreDeRiesgo!A33</f>
        <v>1952</v>
      </c>
      <c r="F29" s="45">
        <f>FuenteTasaLibreDeRiesgo!B33</f>
        <v>2.75E-2</v>
      </c>
      <c r="G29" s="44">
        <f>FuenteTasaLibreDeRiesgo!C33</f>
        <v>2.2679961918305656E-2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s="34" customFormat="1">
      <c r="A30" s="9"/>
      <c r="B30" s="1"/>
      <c r="C30" s="1"/>
      <c r="D30" s="1"/>
      <c r="E30" s="41">
        <f>FuenteTasaLibreDeRiesgo!A34</f>
        <v>1953</v>
      </c>
      <c r="F30" s="45">
        <f>FuenteTasaLibreDeRiesgo!B34</f>
        <v>2.5899999999999999E-2</v>
      </c>
      <c r="G30" s="44">
        <f>FuenteTasaLibreDeRiesgo!C34</f>
        <v>4.1438402589088513E-2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s="34" customFormat="1">
      <c r="A31" s="9"/>
      <c r="B31" s="1"/>
      <c r="C31" s="1"/>
      <c r="D31" s="1"/>
      <c r="E31" s="41">
        <f>FuenteTasaLibreDeRiesgo!A35</f>
        <v>1954</v>
      </c>
      <c r="F31" s="45">
        <f>FuenteTasaLibreDeRiesgo!B35</f>
        <v>2.5100000000000001E-2</v>
      </c>
      <c r="G31" s="44">
        <f>FuenteTasaLibreDeRiesgo!C35</f>
        <v>3.2898034558095555E-2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s="34" customFormat="1">
      <c r="A32" s="9"/>
      <c r="B32" s="1"/>
      <c r="C32" s="1"/>
      <c r="D32" s="1"/>
      <c r="E32" s="41">
        <f>FuenteTasaLibreDeRiesgo!A36</f>
        <v>1955</v>
      </c>
      <c r="F32" s="45">
        <f>FuenteTasaLibreDeRiesgo!B36</f>
        <v>2.9600000000000001E-2</v>
      </c>
      <c r="G32" s="44">
        <f>FuenteTasaLibreDeRiesgo!C36</f>
        <v>-1.3364391288618781E-2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34" customFormat="1">
      <c r="A33" s="9"/>
      <c r="B33" s="1"/>
      <c r="C33" s="1"/>
      <c r="D33" s="1"/>
      <c r="E33" s="46">
        <f>FuenteTasaLibreDeRiesgo!A37</f>
        <v>1956</v>
      </c>
      <c r="F33" s="45">
        <f>FuenteTasaLibreDeRiesgo!B37</f>
        <v>3.5900000000000001E-2</v>
      </c>
      <c r="G33" s="45">
        <f>FuenteTasaLibreDeRiesgo!C37</f>
        <v>-2.2557738173154165E-2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34" customFormat="1">
      <c r="A34" s="9"/>
      <c r="B34" s="1"/>
      <c r="C34" s="1"/>
      <c r="D34" s="1"/>
      <c r="E34" s="41">
        <f>FuenteTasaLibreDeRiesgo!A38</f>
        <v>1957</v>
      </c>
      <c r="F34" s="45">
        <f>FuenteTasaLibreDeRiesgo!B38</f>
        <v>3.2099999999999997E-2</v>
      </c>
      <c r="G34" s="44">
        <f>FuenteTasaLibreDeRiesgo!C38</f>
        <v>6.7970128466249904E-2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34" customFormat="1">
      <c r="A35" s="9"/>
      <c r="B35" s="1"/>
      <c r="C35" s="1"/>
      <c r="D35" s="1"/>
      <c r="E35" s="41">
        <f>FuenteTasaLibreDeRiesgo!A39</f>
        <v>1958</v>
      </c>
      <c r="F35" s="45">
        <f>FuenteTasaLibreDeRiesgo!B39</f>
        <v>3.8600000000000002E-2</v>
      </c>
      <c r="G35" s="44">
        <f>FuenteTasaLibreDeRiesgo!C39</f>
        <v>-2.0990181755274694E-2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34" customFormat="1">
      <c r="A36" s="9"/>
      <c r="B36" s="1"/>
      <c r="C36" s="1"/>
      <c r="D36" s="1"/>
      <c r="E36" s="41">
        <f>FuenteTasaLibreDeRiesgo!A40</f>
        <v>1959</v>
      </c>
      <c r="F36" s="45">
        <f>FuenteTasaLibreDeRiesgo!B40</f>
        <v>4.6899999999999997E-2</v>
      </c>
      <c r="G36" s="44">
        <f>FuenteTasaLibreDeRiesgo!C40</f>
        <v>-2.6466312591385065E-2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34" customFormat="1">
      <c r="A37" s="9"/>
      <c r="B37" s="1"/>
      <c r="C37" s="1"/>
      <c r="D37" s="1"/>
      <c r="E37" s="41">
        <f>FuenteTasaLibreDeRiesgo!A41</f>
        <v>1960</v>
      </c>
      <c r="F37" s="45">
        <f>FuenteTasaLibreDeRiesgo!B41</f>
        <v>3.8399999999999997E-2</v>
      </c>
      <c r="G37" s="44">
        <f>FuenteTasaLibreDeRiesgo!C41</f>
        <v>0.11639503690963365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34" customFormat="1">
      <c r="A38" s="9"/>
      <c r="B38" s="1"/>
      <c r="C38" s="1"/>
      <c r="D38" s="1"/>
      <c r="E38" s="41">
        <f>FuenteTasaLibreDeRiesgo!A42</f>
        <v>1961</v>
      </c>
      <c r="F38" s="45">
        <f>FuenteTasaLibreDeRiesgo!B42</f>
        <v>4.0599999999999997E-2</v>
      </c>
      <c r="G38" s="44">
        <f>FuenteTasaLibreDeRiesgo!C42</f>
        <v>2.0609208076323167E-2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34" customFormat="1">
      <c r="A39" s="9"/>
      <c r="B39" s="1"/>
      <c r="C39" s="1"/>
      <c r="D39" s="1"/>
      <c r="E39" s="41">
        <f>FuenteTasaLibreDeRiesgo!A43</f>
        <v>1962</v>
      </c>
      <c r="F39" s="45">
        <f>FuenteTasaLibreDeRiesgo!B43</f>
        <v>3.8600000000000002E-2</v>
      </c>
      <c r="G39" s="44">
        <f>FuenteTasaLibreDeRiesgo!C43</f>
        <v>5.693544054008462E-2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34" customFormat="1">
      <c r="A40" s="9"/>
      <c r="B40" s="1"/>
      <c r="C40" s="1"/>
      <c r="D40" s="1"/>
      <c r="E40" s="41">
        <f>FuenteTasaLibreDeRiesgo!A44</f>
        <v>1963</v>
      </c>
      <c r="F40" s="45">
        <f>FuenteTasaLibreDeRiesgo!B44</f>
        <v>4.1300000000000003E-2</v>
      </c>
      <c r="G40" s="44">
        <f>FuenteTasaLibreDeRiesgo!C44</f>
        <v>1.6841620739546127E-2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34" customFormat="1">
      <c r="A41" s="9"/>
      <c r="B41" s="1"/>
      <c r="C41" s="1"/>
      <c r="D41" s="1"/>
      <c r="E41" s="41">
        <f>FuenteTasaLibreDeRiesgo!A45</f>
        <v>1964</v>
      </c>
      <c r="F41" s="45">
        <f>FuenteTasaLibreDeRiesgo!B45</f>
        <v>4.1799999999999997E-2</v>
      </c>
      <c r="G41" s="44">
        <f>FuenteTasaLibreDeRiesgo!C45</f>
        <v>3.7280648911540815E-2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34" customFormat="1">
      <c r="A42" s="9"/>
      <c r="B42" s="1"/>
      <c r="C42" s="1"/>
      <c r="D42" s="1"/>
      <c r="E42" s="41">
        <f>FuenteTasaLibreDeRiesgo!A46</f>
        <v>1965</v>
      </c>
      <c r="F42" s="45">
        <f>FuenteTasaLibreDeRiesgo!B46</f>
        <v>4.6199999999999998E-2</v>
      </c>
      <c r="G42" s="44">
        <f>FuenteTasaLibreDeRiesgo!C46</f>
        <v>7.1885509359262342E-3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34" customFormat="1">
      <c r="A43" s="9"/>
      <c r="B43" s="1"/>
      <c r="C43" s="1"/>
      <c r="D43" s="1"/>
      <c r="E43" s="46">
        <f>FuenteTasaLibreDeRiesgo!A47</f>
        <v>1966</v>
      </c>
      <c r="F43" s="45">
        <f>FuenteTasaLibreDeRiesgo!B47</f>
        <v>4.8399999999999999E-2</v>
      </c>
      <c r="G43" s="45">
        <f>FuenteTasaLibreDeRiesgo!C47</f>
        <v>2.9079409324299622E-2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34" customFormat="1">
      <c r="A44" s="9"/>
      <c r="B44" s="1"/>
      <c r="C44" s="1"/>
      <c r="D44" s="1"/>
      <c r="E44" s="41">
        <f>FuenteTasaLibreDeRiesgo!A48</f>
        <v>1967</v>
      </c>
      <c r="F44" s="45">
        <f>FuenteTasaLibreDeRiesgo!B48</f>
        <v>5.7000000000000002E-2</v>
      </c>
      <c r="G44" s="44">
        <f>FuenteTasaLibreDeRiesgo!C48</f>
        <v>-1.5806209932824666E-2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34" customFormat="1">
      <c r="A45" s="9"/>
      <c r="B45" s="1"/>
      <c r="C45" s="1"/>
      <c r="D45" s="1"/>
      <c r="E45" s="41">
        <f>FuenteTasaLibreDeRiesgo!A49</f>
        <v>1968</v>
      </c>
      <c r="F45" s="45">
        <f>FuenteTasaLibreDeRiesgo!B49</f>
        <v>6.0299999999999999E-2</v>
      </c>
      <c r="G45" s="44">
        <f>FuenteTasaLibreDeRiesgo!C49</f>
        <v>3.2746196950768365E-2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34" customFormat="1">
      <c r="A46" s="9"/>
      <c r="B46" s="1"/>
      <c r="C46" s="1"/>
      <c r="D46" s="1"/>
      <c r="E46" s="41">
        <f>FuenteTasaLibreDeRiesgo!A50</f>
        <v>1969</v>
      </c>
      <c r="F46" s="45">
        <f>FuenteTasaLibreDeRiesgo!B50</f>
        <v>7.6499999999999999E-2</v>
      </c>
      <c r="G46" s="44">
        <f>FuenteTasaLibreDeRiesgo!C50</f>
        <v>-5.0140493209926106E-2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34" customFormat="1">
      <c r="A47" s="9"/>
      <c r="B47" s="1"/>
      <c r="C47" s="1"/>
      <c r="D47" s="1"/>
      <c r="E47" s="41">
        <f>FuenteTasaLibreDeRiesgo!A51</f>
        <v>1970</v>
      </c>
      <c r="F47" s="45">
        <f>FuenteTasaLibreDeRiesgo!B51</f>
        <v>6.3899999999999998E-2</v>
      </c>
      <c r="G47" s="44">
        <f>FuenteTasaLibreDeRiesgo!C51</f>
        <v>0.16754737183412338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34" customFormat="1">
      <c r="A48" s="9"/>
      <c r="B48" s="1"/>
      <c r="C48" s="1"/>
      <c r="D48" s="1"/>
      <c r="E48" s="41">
        <f>FuenteTasaLibreDeRiesgo!A52</f>
        <v>1971</v>
      </c>
      <c r="F48" s="45">
        <f>FuenteTasaLibreDeRiesgo!B52</f>
        <v>5.9299999999999999E-2</v>
      </c>
      <c r="G48" s="44">
        <f>FuenteTasaLibreDeRiesgo!C52</f>
        <v>9.7868966197122972E-2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34" customFormat="1">
      <c r="A49" s="9"/>
      <c r="B49" s="1"/>
      <c r="C49" s="1"/>
      <c r="D49" s="1"/>
      <c r="E49" s="41">
        <f>FuenteTasaLibreDeRiesgo!A53</f>
        <v>1972</v>
      </c>
      <c r="F49" s="45">
        <f>FuenteTasaLibreDeRiesgo!B53</f>
        <v>6.3600000000000004E-2</v>
      </c>
      <c r="G49" s="44">
        <f>FuenteTasaLibreDeRiesgo!C53</f>
        <v>2.818449050444969E-2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34" customFormat="1">
      <c r="A50" s="9"/>
      <c r="B50" s="1"/>
      <c r="C50" s="1"/>
      <c r="D50" s="1"/>
      <c r="E50" s="41">
        <f>FuenteTasaLibreDeRiesgo!A54</f>
        <v>1973</v>
      </c>
      <c r="F50" s="45">
        <f>FuenteTasaLibreDeRiesgo!B54</f>
        <v>6.7400000000000002E-2</v>
      </c>
      <c r="G50" s="44">
        <f>FuenteTasaLibreDeRiesgo!C54</f>
        <v>3.6586646024150085E-2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34" customFormat="1">
      <c r="A51" s="9"/>
      <c r="B51" s="1"/>
      <c r="C51" s="1"/>
      <c r="D51" s="1"/>
      <c r="E51" s="41">
        <f>FuenteTasaLibreDeRiesgo!A55</f>
        <v>1974</v>
      </c>
      <c r="F51" s="45">
        <f>FuenteTasaLibreDeRiesgo!B55</f>
        <v>7.4300000000000005E-2</v>
      </c>
      <c r="G51" s="44">
        <f>FuenteTasaLibreDeRiesgo!C55</f>
        <v>1.9886086932378574E-2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34" customFormat="1">
      <c r="A52" s="9"/>
      <c r="B52" s="1"/>
      <c r="C52" s="1"/>
      <c r="D52" s="1"/>
      <c r="E52" s="41">
        <f>FuenteTasaLibreDeRiesgo!A56</f>
        <v>1975</v>
      </c>
      <c r="F52" s="45">
        <f>FuenteTasaLibreDeRiesgo!B56</f>
        <v>0.08</v>
      </c>
      <c r="G52" s="44">
        <f>FuenteTasaLibreDeRiesgo!C56</f>
        <v>3.6052536026033838E-2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34" customFormat="1">
      <c r="A53" s="9"/>
      <c r="B53" s="1"/>
      <c r="C53" s="1"/>
      <c r="D53" s="1"/>
      <c r="E53" s="46">
        <f>FuenteTasaLibreDeRiesgo!A57</f>
        <v>1976</v>
      </c>
      <c r="F53" s="45">
        <f>FuenteTasaLibreDeRiesgo!B57</f>
        <v>6.8699999999999997E-2</v>
      </c>
      <c r="G53" s="45">
        <f>FuenteTasaLibreDeRiesgo!C57</f>
        <v>0.1598456074290921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34" customFormat="1">
      <c r="A54" s="9"/>
      <c r="B54" s="1"/>
      <c r="C54" s="1"/>
      <c r="D54" s="1"/>
      <c r="E54" s="41">
        <f>FuenteTasaLibreDeRiesgo!A58</f>
        <v>1977</v>
      </c>
      <c r="F54" s="45">
        <f>FuenteTasaLibreDeRiesgo!B58</f>
        <v>7.6899999999999996E-2</v>
      </c>
      <c r="G54" s="44">
        <f>FuenteTasaLibreDeRiesgo!C58</f>
        <v>1.2899606071070449E-2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34" customFormat="1">
      <c r="A55" s="9"/>
      <c r="B55" s="1"/>
      <c r="C55" s="1"/>
      <c r="D55" s="1"/>
      <c r="E55" s="41">
        <f>FuenteTasaLibreDeRiesgo!A59</f>
        <v>1978</v>
      </c>
      <c r="F55" s="45">
        <f>FuenteTasaLibreDeRiesgo!B59</f>
        <v>9.01E-2</v>
      </c>
      <c r="G55" s="44">
        <f>FuenteTasaLibreDeRiesgo!C59</f>
        <v>-7.7758069075086478E-3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34" customFormat="1">
      <c r="A56" s="9"/>
      <c r="B56" s="1"/>
      <c r="C56" s="1"/>
      <c r="D56" s="1"/>
      <c r="E56" s="41">
        <f>FuenteTasaLibreDeRiesgo!A60</f>
        <v>1979</v>
      </c>
      <c r="F56" s="45">
        <f>FuenteTasaLibreDeRiesgo!B60</f>
        <v>0.10390000000000001</v>
      </c>
      <c r="G56" s="44">
        <f>FuenteTasaLibreDeRiesgo!C60</f>
        <v>6.7072031247235459E-3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34" customFormat="1">
      <c r="A57" s="9"/>
      <c r="B57" s="1"/>
      <c r="C57" s="1"/>
      <c r="D57" s="1"/>
      <c r="E57" s="41">
        <f>FuenteTasaLibreDeRiesgo!A61</f>
        <v>1980</v>
      </c>
      <c r="F57" s="45">
        <f>FuenteTasaLibreDeRiesgo!B61</f>
        <v>0.12839999999999999</v>
      </c>
      <c r="G57" s="44">
        <f>FuenteTasaLibreDeRiesgo!C61</f>
        <v>-2.989744251999403E-2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34" customFormat="1">
      <c r="A58" s="9"/>
      <c r="B58" s="1"/>
      <c r="C58" s="1"/>
      <c r="D58" s="1"/>
      <c r="E58" s="41">
        <f>FuenteTasaLibreDeRiesgo!A62</f>
        <v>1981</v>
      </c>
      <c r="F58" s="45">
        <f>FuenteTasaLibreDeRiesgo!B62</f>
        <v>0.13719999999999999</v>
      </c>
      <c r="G58" s="44">
        <f>FuenteTasaLibreDeRiesgo!C62</f>
        <v>8.1992153358923542E-2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34" customFormat="1">
      <c r="A59" s="9"/>
      <c r="B59" s="1"/>
      <c r="C59" s="1"/>
      <c r="D59" s="1"/>
      <c r="E59" s="41">
        <f>FuenteTasaLibreDeRiesgo!A63</f>
        <v>1982</v>
      </c>
      <c r="F59" s="45">
        <f>FuenteTasaLibreDeRiesgo!B63</f>
        <v>0.10539999999999999</v>
      </c>
      <c r="G59" s="44">
        <f>FuenteTasaLibreDeRiesgo!C63</f>
        <v>0.32814549486295586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34" customFormat="1">
      <c r="A60" s="9"/>
      <c r="B60" s="1"/>
      <c r="C60" s="1"/>
      <c r="D60" s="1"/>
      <c r="E60" s="41">
        <f>FuenteTasaLibreDeRiesgo!A64</f>
        <v>1983</v>
      </c>
      <c r="F60" s="45">
        <f>FuenteTasaLibreDeRiesgo!B64</f>
        <v>0.1183</v>
      </c>
      <c r="G60" s="44">
        <f>FuenteTasaLibreDeRiesgo!C64</f>
        <v>3.2002094451429264E-2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34" customFormat="1">
      <c r="A61" s="9"/>
      <c r="B61" s="1"/>
      <c r="C61" s="1"/>
      <c r="D61" s="1"/>
      <c r="E61" s="41">
        <f>FuenteTasaLibreDeRiesgo!A65</f>
        <v>1984</v>
      </c>
      <c r="F61" s="45">
        <f>FuenteTasaLibreDeRiesgo!B65</f>
        <v>0.115</v>
      </c>
      <c r="G61" s="44">
        <f>FuenteTasaLibreDeRiesgo!C65</f>
        <v>0.13733364344102345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34" customFormat="1">
      <c r="A62" s="9"/>
      <c r="B62" s="1"/>
      <c r="C62" s="1"/>
      <c r="D62" s="1"/>
      <c r="E62" s="41">
        <f>FuenteTasaLibreDeRiesgo!A66</f>
        <v>1985</v>
      </c>
      <c r="F62" s="45">
        <f>FuenteTasaLibreDeRiesgo!B66</f>
        <v>9.2600000000000002E-2</v>
      </c>
      <c r="G62" s="44">
        <f>FuenteTasaLibreDeRiesgo!C66</f>
        <v>0.2571248821260641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34" customFormat="1">
      <c r="A63" s="9"/>
      <c r="B63" s="1"/>
      <c r="C63" s="1"/>
      <c r="D63" s="1"/>
      <c r="E63" s="46">
        <f>FuenteTasaLibreDeRiesgo!A67</f>
        <v>1986</v>
      </c>
      <c r="F63" s="45">
        <f>FuenteTasaLibreDeRiesgo!B67</f>
        <v>7.1099999999999997E-2</v>
      </c>
      <c r="G63" s="45">
        <f>FuenteTasaLibreDeRiesgo!C67</f>
        <v>0.24284215141767618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34" customFormat="1">
      <c r="A64" s="9"/>
      <c r="B64" s="1"/>
      <c r="C64" s="1"/>
      <c r="D64" s="1"/>
      <c r="E64" s="41">
        <f>FuenteTasaLibreDeRiesgo!A68</f>
        <v>1987</v>
      </c>
      <c r="F64" s="45">
        <f>FuenteTasaLibreDeRiesgo!B68</f>
        <v>8.9899999999999994E-2</v>
      </c>
      <c r="G64" s="44">
        <f>FuenteTasaLibreDeRiesgo!C68</f>
        <v>-4.9605089379262279E-2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34" customFormat="1">
      <c r="A65" s="9"/>
      <c r="B65" s="1"/>
      <c r="C65" s="1"/>
      <c r="D65" s="1"/>
      <c r="E65" s="41">
        <f>FuenteTasaLibreDeRiesgo!A69</f>
        <v>1988</v>
      </c>
      <c r="F65" s="45">
        <f>FuenteTasaLibreDeRiesgo!B69</f>
        <v>9.11E-2</v>
      </c>
      <c r="G65" s="44">
        <f>FuenteTasaLibreDeRiesgo!C69</f>
        <v>8.2235958434841674E-2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34" customFormat="1">
      <c r="A66" s="9"/>
      <c r="B66" s="1"/>
      <c r="C66" s="1"/>
      <c r="D66" s="1"/>
      <c r="E66" s="41">
        <f>FuenteTasaLibreDeRiesgo!A70</f>
        <v>1989</v>
      </c>
      <c r="F66" s="45">
        <f>FuenteTasaLibreDeRiesgo!B70</f>
        <v>7.8399999999999997E-2</v>
      </c>
      <c r="G66" s="44">
        <f>FuenteTasaLibreDeRiesgo!C70</f>
        <v>0.17693647159446219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34" customFormat="1">
      <c r="A67" s="9"/>
      <c r="B67" s="1"/>
      <c r="C67" s="1"/>
      <c r="D67" s="1"/>
      <c r="E67" s="41">
        <f>FuenteTasaLibreDeRiesgo!A71</f>
        <v>1990</v>
      </c>
      <c r="F67" s="45">
        <f>FuenteTasaLibreDeRiesgo!B71</f>
        <v>8.0799999999999997E-2</v>
      </c>
      <c r="G67" s="44">
        <f>FuenteTasaLibreDeRiesgo!C71</f>
        <v>6.2353753335533363E-2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34" customFormat="1">
      <c r="A68" s="9"/>
      <c r="B68" s="1"/>
      <c r="C68" s="1"/>
      <c r="D68" s="1"/>
      <c r="E68" s="41">
        <f>FuenteTasaLibreDeRiesgo!A72</f>
        <v>1991</v>
      </c>
      <c r="F68" s="45">
        <f>FuenteTasaLibreDeRiesgo!B72</f>
        <v>7.0900000000000005E-2</v>
      </c>
      <c r="G68" s="44">
        <f>FuenteTasaLibreDeRiesgo!C72</f>
        <v>0.15004510019517303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34" customFormat="1">
      <c r="A69" s="9"/>
      <c r="B69" s="1"/>
      <c r="C69" s="1"/>
      <c r="D69" s="1"/>
      <c r="E69" s="41">
        <f>FuenteTasaLibreDeRiesgo!A73</f>
        <v>1992</v>
      </c>
      <c r="F69" s="45">
        <f>FuenteTasaLibreDeRiesgo!B73</f>
        <v>6.7699999999999996E-2</v>
      </c>
      <c r="G69" s="44">
        <f>FuenteTasaLibreDeRiesgo!C73</f>
        <v>9.3616373162079422E-2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34" customFormat="1">
      <c r="A70" s="9"/>
      <c r="B70" s="1"/>
      <c r="C70" s="1"/>
      <c r="D70" s="1"/>
      <c r="E70" s="41">
        <f>FuenteTasaLibreDeRiesgo!A74</f>
        <v>1993</v>
      </c>
      <c r="F70" s="45">
        <f>FuenteTasaLibreDeRiesgo!B74</f>
        <v>5.7700000000000001E-2</v>
      </c>
      <c r="G70" s="44">
        <f>FuenteTasaLibreDeRiesgo!C74</f>
        <v>0.14210957589263107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34" customFormat="1">
      <c r="A71" s="9"/>
      <c r="B71" s="1"/>
      <c r="C71" s="1"/>
      <c r="D71" s="1"/>
      <c r="E71" s="41">
        <f>FuenteTasaLibreDeRiesgo!A75</f>
        <v>1994</v>
      </c>
      <c r="F71" s="45">
        <f>FuenteTasaLibreDeRiesgo!B75</f>
        <v>7.8100000000000003E-2</v>
      </c>
      <c r="G71" s="44">
        <f>FuenteTasaLibreDeRiesgo!C75</f>
        <v>-8.0366555509985921E-2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34" customFormat="1">
      <c r="A72" s="9"/>
      <c r="B72" s="1"/>
      <c r="C72" s="1"/>
      <c r="D72" s="1"/>
      <c r="E72" s="41">
        <f>FuenteTasaLibreDeRiesgo!A76</f>
        <v>1995</v>
      </c>
      <c r="F72" s="45">
        <f>FuenteTasaLibreDeRiesgo!B76</f>
        <v>5.7099999999999998E-2</v>
      </c>
      <c r="G72" s="44">
        <f>FuenteTasaLibreDeRiesgo!C76</f>
        <v>0.23480780112538907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34" customFormat="1">
      <c r="A73" s="9"/>
      <c r="B73" s="1"/>
      <c r="C73" s="1"/>
      <c r="D73" s="1"/>
      <c r="E73" s="46">
        <f>FuenteTasaLibreDeRiesgo!A77</f>
        <v>1996</v>
      </c>
      <c r="F73" s="45">
        <f>FuenteTasaLibreDeRiesgo!B77</f>
        <v>6.3E-2</v>
      </c>
      <c r="G73" s="45">
        <f>FuenteTasaLibreDeRiesgo!C77</f>
        <v>1.428607793401844E-2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34" customFormat="1">
      <c r="A74" s="9"/>
      <c r="B74" s="1"/>
      <c r="C74" s="1"/>
      <c r="D74" s="1"/>
      <c r="E74" s="41">
        <f>FuenteTasaLibreDeRiesgo!A78</f>
        <v>1997</v>
      </c>
      <c r="F74" s="45">
        <f>FuenteTasaLibreDeRiesgo!B78</f>
        <v>5.8099999999999999E-2</v>
      </c>
      <c r="G74" s="44">
        <f>FuenteTasaLibreDeRiesgo!C78</f>
        <v>9.939130272977531E-2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34" customFormat="1">
      <c r="A75" s="9"/>
      <c r="B75" s="1"/>
      <c r="C75" s="1"/>
      <c r="D75" s="1"/>
      <c r="E75" s="41">
        <f>FuenteTasaLibreDeRiesgo!A79</f>
        <v>1998</v>
      </c>
      <c r="F75" s="45">
        <f>FuenteTasaLibreDeRiesgo!B79</f>
        <v>4.65E-2</v>
      </c>
      <c r="G75" s="44">
        <f>FuenteTasaLibreDeRiesgo!C79</f>
        <v>0.14921431922606215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34" customFormat="1">
      <c r="A76" s="9"/>
      <c r="B76" s="1"/>
      <c r="C76" s="1"/>
      <c r="D76" s="1"/>
      <c r="E76" s="41">
        <f>FuenteTasaLibreDeRiesgo!A80</f>
        <v>1999</v>
      </c>
      <c r="F76" s="45">
        <f>FuenteTasaLibreDeRiesgo!B80</f>
        <v>6.4399999999999999E-2</v>
      </c>
      <c r="G76" s="44">
        <f>FuenteTasaLibreDeRiesgo!C80</f>
        <v>-8.2542147962685761E-2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34" customFormat="1">
      <c r="A77" s="9"/>
      <c r="B77" s="1"/>
      <c r="C77" s="1"/>
      <c r="D77" s="1"/>
      <c r="E77" s="41">
        <f>FuenteTasaLibreDeRiesgo!A81</f>
        <v>2000</v>
      </c>
      <c r="F77" s="45">
        <f>FuenteTasaLibreDeRiesgo!B81</f>
        <v>5.11E-2</v>
      </c>
      <c r="G77" s="44">
        <f>FuenteTasaLibreDeRiesgo!C81</f>
        <v>0.16655267125397488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34" customFormat="1">
      <c r="A78" s="9"/>
      <c r="B78" s="1"/>
      <c r="C78" s="1"/>
      <c r="D78" s="1"/>
      <c r="E78" s="41">
        <f>FuenteTasaLibreDeRiesgo!A82</f>
        <v>2001</v>
      </c>
      <c r="F78" s="45">
        <f>FuenteTasaLibreDeRiesgo!B82</f>
        <v>5.0500000000000003E-2</v>
      </c>
      <c r="G78" s="44">
        <f>FuenteTasaLibreDeRiesgo!C82</f>
        <v>5.5721811892492555E-2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34" customFormat="1">
      <c r="A79" s="9"/>
      <c r="B79" s="1"/>
      <c r="C79" s="1"/>
      <c r="D79" s="1"/>
      <c r="E79" s="41">
        <f>FuenteTasaLibreDeRiesgo!A83</f>
        <v>2002</v>
      </c>
      <c r="F79" s="45">
        <f>FuenteTasaLibreDeRiesgo!B83</f>
        <v>3.8199999999999998E-2</v>
      </c>
      <c r="G79" s="44">
        <f>FuenteTasaLibreDeRiesgo!C83</f>
        <v>0.15116400378109285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34" customFormat="1">
      <c r="A80" s="9"/>
      <c r="B80" s="1"/>
      <c r="C80" s="1"/>
      <c r="D80" s="1"/>
      <c r="E80" s="41">
        <f>FuenteTasaLibreDeRiesgo!A84</f>
        <v>2003</v>
      </c>
      <c r="F80" s="45">
        <f>FuenteTasaLibreDeRiesgo!B84</f>
        <v>4.2500000000000003E-2</v>
      </c>
      <c r="G80" s="44">
        <f>FuenteTasaLibreDeRiesgo!C84</f>
        <v>3.7531858817758529E-3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34" customFormat="1">
      <c r="A81" s="9"/>
      <c r="B81" s="1"/>
      <c r="C81" s="1"/>
      <c r="D81" s="1"/>
      <c r="E81" s="41">
        <f>FuenteTasaLibreDeRiesgo!A85</f>
        <v>2004</v>
      </c>
      <c r="F81" s="45">
        <f>FuenteTasaLibreDeRiesgo!B85</f>
        <v>4.2200000000000001E-2</v>
      </c>
      <c r="G81" s="44">
        <f>FuenteTasaLibreDeRiesgo!C85</f>
        <v>4.490683702274547E-2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34" customFormat="1">
      <c r="A82" s="9"/>
      <c r="B82" s="1"/>
      <c r="C82" s="1"/>
      <c r="D82" s="1"/>
      <c r="E82" s="41">
        <f>FuenteTasaLibreDeRiesgo!A86</f>
        <v>2005</v>
      </c>
      <c r="F82" s="45">
        <f>FuenteTasaLibreDeRiesgo!B86</f>
        <v>4.3900000000000002E-2</v>
      </c>
      <c r="G82" s="44">
        <f>FuenteTasaLibreDeRiesgo!C86</f>
        <v>2.8675329597779506E-2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34" customFormat="1">
      <c r="A83" s="9"/>
      <c r="B83" s="1"/>
      <c r="C83" s="1"/>
      <c r="D83" s="1"/>
      <c r="E83" s="46">
        <f>FuenteTasaLibreDeRiesgo!A87</f>
        <v>2006</v>
      </c>
      <c r="F83" s="45">
        <f>FuenteTasaLibreDeRiesgo!B87</f>
        <v>4.7E-2</v>
      </c>
      <c r="G83" s="45">
        <f>FuenteTasaLibreDeRiesgo!C87</f>
        <v>1.9610012417568386E-2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34" customFormat="1">
      <c r="A84" s="9"/>
      <c r="B84" s="1"/>
      <c r="C84" s="1"/>
      <c r="D84" s="1"/>
      <c r="E84" s="41">
        <f>FuenteTasaLibreDeRiesgo!A88</f>
        <v>2007</v>
      </c>
      <c r="F84" s="45">
        <f>FuenteTasaLibreDeRiesgo!B88</f>
        <v>4.02E-2</v>
      </c>
      <c r="G84" s="44">
        <f>FuenteTasaLibreDeRiesgo!C88</f>
        <v>0.10209921930012807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34" customFormat="1">
      <c r="A85" s="9"/>
      <c r="B85" s="1"/>
      <c r="C85" s="1"/>
      <c r="D85" s="1"/>
      <c r="E85" s="41">
        <f>FuenteTasaLibreDeRiesgo!A89</f>
        <v>2008</v>
      </c>
      <c r="F85" s="45">
        <f>FuenteTasaLibreDeRiesgo!B89</f>
        <v>2.2100000000000002E-2</v>
      </c>
      <c r="G85" s="44">
        <f>FuenteTasaLibreDeRiesgo!C89</f>
        <v>0.20101279926977011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34" customFormat="1">
      <c r="A86" s="9"/>
      <c r="B86" s="1"/>
      <c r="C86" s="1"/>
      <c r="D86" s="1"/>
      <c r="E86" s="41">
        <f>FuenteTasaLibreDeRiesgo!A90</f>
        <v>2009</v>
      </c>
      <c r="F86" s="45">
        <f>FuenteTasaLibreDeRiesgo!B90</f>
        <v>3.8399999999999997E-2</v>
      </c>
      <c r="G86" s="44">
        <f>FuenteTasaLibreDeRiesgo!C90</f>
        <v>-0.11116695313259162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34" customFormat="1">
      <c r="A87" s="9"/>
      <c r="B87" s="1"/>
      <c r="C87" s="1"/>
      <c r="D87" s="1"/>
      <c r="E87" s="41">
        <f>FuenteTasaLibreDeRiesgo!A91</f>
        <v>2010</v>
      </c>
      <c r="F87" s="45">
        <f>FuenteTasaLibreDeRiesgo!B91</f>
        <v>3.2899999999999999E-2</v>
      </c>
      <c r="G87" s="44">
        <f>FuenteTasaLibreDeRiesgo!C91</f>
        <v>8.4629338803557719E-2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34" customFormat="1">
      <c r="A88" s="9"/>
      <c r="B88" s="1"/>
      <c r="C88" s="1"/>
      <c r="D88" s="1"/>
      <c r="E88" s="41">
        <f>FuenteTasaLibreDeRiesgo!A92</f>
        <v>2011</v>
      </c>
      <c r="F88" s="45">
        <f>FuenteTasaLibreDeRiesgo!B92</f>
        <v>1.8800000000000001E-2</v>
      </c>
      <c r="G88" s="44">
        <f>FuenteTasaLibreDeRiesgo!C92</f>
        <v>0.16035334999461354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34" customFormat="1">
      <c r="A89" s="9"/>
      <c r="B89" s="1"/>
      <c r="C89" s="1"/>
      <c r="D89" s="1"/>
      <c r="E89" s="41">
        <f>FuenteTasaLibreDeRiesgo!A93</f>
        <v>2012</v>
      </c>
      <c r="F89" s="45">
        <f>FuenteTasaLibreDeRiesgo!B93</f>
        <v>1.7600000000000001E-2</v>
      </c>
      <c r="G89" s="44">
        <f>FuenteTasaLibreDeRiesgo!C93</f>
        <v>2.971571978018946E-2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s="34" customFormat="1">
      <c r="A90" s="9"/>
      <c r="B90" s="1"/>
      <c r="C90" s="1"/>
      <c r="D90" s="1"/>
      <c r="E90" s="41">
        <f>FuenteTasaLibreDeRiesgo!A94</f>
        <v>2013</v>
      </c>
      <c r="F90" s="45">
        <f>FuenteTasaLibreDeRiesgo!B94</f>
        <v>3.0360000000000002E-2</v>
      </c>
      <c r="G90" s="44">
        <f>FuenteTasaLibreDeRiesgo!C94</f>
        <v>-9.104568794347262E-2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s="34" customFormat="1">
      <c r="A91" s="9"/>
      <c r="B91" s="1"/>
      <c r="C91" s="1"/>
      <c r="D91" s="1"/>
      <c r="E91" s="41">
        <f>FuenteTasaLibreDeRiesgo!A95</f>
        <v>2014</v>
      </c>
      <c r="F91" s="45">
        <f>FuenteTasaLibreDeRiesgo!B95</f>
        <v>2.1700000000000001E-2</v>
      </c>
      <c r="G91" s="44">
        <f>FuenteTasaLibreDeRiesgo!C95</f>
        <v>0.10746180452004755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s="34" customFormat="1">
      <c r="A92" s="9"/>
      <c r="B92" s="1"/>
      <c r="C92" s="1"/>
      <c r="D92" s="1"/>
      <c r="E92" s="41">
        <f>FuenteTasaLibreDeRiesgo!A96</f>
        <v>2015</v>
      </c>
      <c r="F92" s="45">
        <f>FuenteTasaLibreDeRiesgo!B96</f>
        <v>2.2700000000000001E-2</v>
      </c>
      <c r="G92" s="44">
        <f>FuenteTasaLibreDeRiesgo!C96</f>
        <v>1.2842996709792224E-2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s="34" customFormat="1">
      <c r="A93" s="9"/>
      <c r="B93" s="1"/>
      <c r="C93" s="1"/>
      <c r="D93" s="1"/>
      <c r="E93" s="46">
        <f>FuenteTasaLibreDeRiesgo!A97</f>
        <v>2016</v>
      </c>
      <c r="F93" s="45">
        <f>FuenteTasaLibreDeRiesgo!B97</f>
        <v>2.4500000000000001E-2</v>
      </c>
      <c r="G93" s="45">
        <f>FuenteTasaLibreDeRiesgo!C97</f>
        <v>6.9055046987477921E-3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34" customFormat="1">
      <c r="A94" s="9"/>
      <c r="B94" s="1"/>
      <c r="C94" s="1"/>
      <c r="D94" s="1"/>
      <c r="E94" s="41">
        <f>FuenteTasaLibreDeRiesgo!A98</f>
        <v>2017</v>
      </c>
      <c r="F94" s="45">
        <f>FuenteTasaLibreDeRiesgo!B98</f>
        <v>2.41E-2</v>
      </c>
      <c r="G94" s="44">
        <f>FuenteTasaLibreDeRiesgo!C98</f>
        <v>2.8017162707789457E-2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34" customFormat="1">
      <c r="A95" s="9"/>
      <c r="B95" s="1"/>
      <c r="C95" s="1"/>
      <c r="D95" s="1"/>
      <c r="E95" s="41">
        <f>FuenteTasaLibreDeRiesgo!A99</f>
        <v>2018</v>
      </c>
      <c r="F95" s="45">
        <f>FuenteTasaLibreDeRiesgo!B99</f>
        <v>2.69E-2</v>
      </c>
      <c r="G95" s="44">
        <f>FuenteTasaLibreDeRiesgo!C99</f>
        <v>-1.6692385713402633E-4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34" customFormat="1">
      <c r="A96" s="9"/>
      <c r="B96" s="1"/>
      <c r="C96" s="1"/>
      <c r="D96" s="1"/>
      <c r="E96" s="41">
        <f>FuenteTasaLibreDeRiesgo!A100</f>
        <v>2019</v>
      </c>
      <c r="F96" s="45">
        <f>FuenteTasaLibreDeRiesgo!B100</f>
        <v>1.9199999999999998E-2</v>
      </c>
      <c r="G96" s="44">
        <f>FuenteTasaLibreDeRiesgo!C100</f>
        <v>9.6356307415483927E-2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s="34" customFormat="1">
      <c r="A97" s="9"/>
      <c r="B97" s="1"/>
      <c r="C97" s="1"/>
      <c r="D97" s="1"/>
      <c r="E97" s="41">
        <f>FuenteTasaLibreDeRiesgo!A101</f>
        <v>2020</v>
      </c>
      <c r="F97" s="45">
        <f>FuenteTasaLibreDeRiesgo!B101</f>
        <v>9.2999999999999992E-3</v>
      </c>
      <c r="G97" s="44">
        <f>FuenteTasaLibreDeRiesgo!C101</f>
        <v>0.1133189764661412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</sheetData>
  <hyperlinks>
    <hyperlink ref="A1" location="Indice!A1" display="Índice" xr:uid="{F2CEF992-8321-48DD-9EEB-2E3A1833FC1D}"/>
  </hyperlink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50263-AC9C-4B0D-824D-BF00C738A089}">
  <sheetPr>
    <tabColor theme="9" tint="-0.499984740745262"/>
  </sheetPr>
  <dimension ref="A1:T121"/>
  <sheetViews>
    <sheetView zoomScale="70" zoomScaleNormal="70" workbookViewId="0">
      <selection activeCell="H21" sqref="H21"/>
    </sheetView>
  </sheetViews>
  <sheetFormatPr baseColWidth="10" defaultColWidth="10.7109375" defaultRowHeight="15.75"/>
  <cols>
    <col min="1" max="1" width="15.5703125" style="28" bestFit="1" customWidth="1"/>
    <col min="2" max="2" width="8.5703125" style="28" customWidth="1"/>
    <col min="3" max="3" width="12.42578125" style="28" customWidth="1"/>
    <col min="4" max="4" width="13.7109375" style="28" customWidth="1"/>
    <col min="5" max="5" width="12.85546875" style="28" customWidth="1"/>
    <col min="6" max="6" width="12.140625" style="28" bestFit="1" customWidth="1"/>
    <col min="7" max="7" width="12.85546875" style="28" bestFit="1" customWidth="1"/>
    <col min="8" max="8" width="11.140625" style="28" customWidth="1"/>
    <col min="9" max="9" width="12.42578125" style="28" customWidth="1"/>
    <col min="10" max="10" width="12.85546875" style="28" customWidth="1"/>
    <col min="11" max="11" width="13.85546875" style="28" customWidth="1"/>
    <col min="12" max="15" width="10.7109375" style="28"/>
    <col min="16" max="16" width="10.7109375" style="29"/>
    <col min="17" max="256" width="10.7109375" style="28"/>
    <col min="257" max="257" width="15.5703125" style="28" bestFit="1" customWidth="1"/>
    <col min="258" max="258" width="8.5703125" style="28" customWidth="1"/>
    <col min="259" max="259" width="12.42578125" style="28" customWidth="1"/>
    <col min="260" max="260" width="13.7109375" style="28" customWidth="1"/>
    <col min="261" max="261" width="12.85546875" style="28" customWidth="1"/>
    <col min="262" max="262" width="12.140625" style="28" bestFit="1" customWidth="1"/>
    <col min="263" max="263" width="12.85546875" style="28" bestFit="1" customWidth="1"/>
    <col min="264" max="264" width="11.140625" style="28" customWidth="1"/>
    <col min="265" max="265" width="12.42578125" style="28" customWidth="1"/>
    <col min="266" max="266" width="12.85546875" style="28" customWidth="1"/>
    <col min="267" max="267" width="13.85546875" style="28" customWidth="1"/>
    <col min="268" max="512" width="10.7109375" style="28"/>
    <col min="513" max="513" width="15.5703125" style="28" bestFit="1" customWidth="1"/>
    <col min="514" max="514" width="8.5703125" style="28" customWidth="1"/>
    <col min="515" max="515" width="12.42578125" style="28" customWidth="1"/>
    <col min="516" max="516" width="13.7109375" style="28" customWidth="1"/>
    <col min="517" max="517" width="12.85546875" style="28" customWidth="1"/>
    <col min="518" max="518" width="12.140625" style="28" bestFit="1" customWidth="1"/>
    <col min="519" max="519" width="12.85546875" style="28" bestFit="1" customWidth="1"/>
    <col min="520" max="520" width="11.140625" style="28" customWidth="1"/>
    <col min="521" max="521" width="12.42578125" style="28" customWidth="1"/>
    <col min="522" max="522" width="12.85546875" style="28" customWidth="1"/>
    <col min="523" max="523" width="13.85546875" style="28" customWidth="1"/>
    <col min="524" max="768" width="10.7109375" style="28"/>
    <col min="769" max="769" width="15.5703125" style="28" bestFit="1" customWidth="1"/>
    <col min="770" max="770" width="8.5703125" style="28" customWidth="1"/>
    <col min="771" max="771" width="12.42578125" style="28" customWidth="1"/>
    <col min="772" max="772" width="13.7109375" style="28" customWidth="1"/>
    <col min="773" max="773" width="12.85546875" style="28" customWidth="1"/>
    <col min="774" max="774" width="12.140625" style="28" bestFit="1" customWidth="1"/>
    <col min="775" max="775" width="12.85546875" style="28" bestFit="1" customWidth="1"/>
    <col min="776" max="776" width="11.140625" style="28" customWidth="1"/>
    <col min="777" max="777" width="12.42578125" style="28" customWidth="1"/>
    <col min="778" max="778" width="12.85546875" style="28" customWidth="1"/>
    <col min="779" max="779" width="13.85546875" style="28" customWidth="1"/>
    <col min="780" max="1024" width="10.7109375" style="28"/>
    <col min="1025" max="1025" width="15.5703125" style="28" bestFit="1" customWidth="1"/>
    <col min="1026" max="1026" width="8.5703125" style="28" customWidth="1"/>
    <col min="1027" max="1027" width="12.42578125" style="28" customWidth="1"/>
    <col min="1028" max="1028" width="13.7109375" style="28" customWidth="1"/>
    <col min="1029" max="1029" width="12.85546875" style="28" customWidth="1"/>
    <col min="1030" max="1030" width="12.140625" style="28" bestFit="1" customWidth="1"/>
    <col min="1031" max="1031" width="12.85546875" style="28" bestFit="1" customWidth="1"/>
    <col min="1032" max="1032" width="11.140625" style="28" customWidth="1"/>
    <col min="1033" max="1033" width="12.42578125" style="28" customWidth="1"/>
    <col min="1034" max="1034" width="12.85546875" style="28" customWidth="1"/>
    <col min="1035" max="1035" width="13.85546875" style="28" customWidth="1"/>
    <col min="1036" max="1280" width="10.7109375" style="28"/>
    <col min="1281" max="1281" width="15.5703125" style="28" bestFit="1" customWidth="1"/>
    <col min="1282" max="1282" width="8.5703125" style="28" customWidth="1"/>
    <col min="1283" max="1283" width="12.42578125" style="28" customWidth="1"/>
    <col min="1284" max="1284" width="13.7109375" style="28" customWidth="1"/>
    <col min="1285" max="1285" width="12.85546875" style="28" customWidth="1"/>
    <col min="1286" max="1286" width="12.140625" style="28" bestFit="1" customWidth="1"/>
    <col min="1287" max="1287" width="12.85546875" style="28" bestFit="1" customWidth="1"/>
    <col min="1288" max="1288" width="11.140625" style="28" customWidth="1"/>
    <col min="1289" max="1289" width="12.42578125" style="28" customWidth="1"/>
    <col min="1290" max="1290" width="12.85546875" style="28" customWidth="1"/>
    <col min="1291" max="1291" width="13.85546875" style="28" customWidth="1"/>
    <col min="1292" max="1536" width="10.7109375" style="28"/>
    <col min="1537" max="1537" width="15.5703125" style="28" bestFit="1" customWidth="1"/>
    <col min="1538" max="1538" width="8.5703125" style="28" customWidth="1"/>
    <col min="1539" max="1539" width="12.42578125" style="28" customWidth="1"/>
    <col min="1540" max="1540" width="13.7109375" style="28" customWidth="1"/>
    <col min="1541" max="1541" width="12.85546875" style="28" customWidth="1"/>
    <col min="1542" max="1542" width="12.140625" style="28" bestFit="1" customWidth="1"/>
    <col min="1543" max="1543" width="12.85546875" style="28" bestFit="1" customWidth="1"/>
    <col min="1544" max="1544" width="11.140625" style="28" customWidth="1"/>
    <col min="1545" max="1545" width="12.42578125" style="28" customWidth="1"/>
    <col min="1546" max="1546" width="12.85546875" style="28" customWidth="1"/>
    <col min="1547" max="1547" width="13.85546875" style="28" customWidth="1"/>
    <col min="1548" max="1792" width="10.7109375" style="28"/>
    <col min="1793" max="1793" width="15.5703125" style="28" bestFit="1" customWidth="1"/>
    <col min="1794" max="1794" width="8.5703125" style="28" customWidth="1"/>
    <col min="1795" max="1795" width="12.42578125" style="28" customWidth="1"/>
    <col min="1796" max="1796" width="13.7109375" style="28" customWidth="1"/>
    <col min="1797" max="1797" width="12.85546875" style="28" customWidth="1"/>
    <col min="1798" max="1798" width="12.140625" style="28" bestFit="1" customWidth="1"/>
    <col min="1799" max="1799" width="12.85546875" style="28" bestFit="1" customWidth="1"/>
    <col min="1800" max="1800" width="11.140625" style="28" customWidth="1"/>
    <col min="1801" max="1801" width="12.42578125" style="28" customWidth="1"/>
    <col min="1802" max="1802" width="12.85546875" style="28" customWidth="1"/>
    <col min="1803" max="1803" width="13.85546875" style="28" customWidth="1"/>
    <col min="1804" max="2048" width="10.7109375" style="28"/>
    <col min="2049" max="2049" width="15.5703125" style="28" bestFit="1" customWidth="1"/>
    <col min="2050" max="2050" width="8.5703125" style="28" customWidth="1"/>
    <col min="2051" max="2051" width="12.42578125" style="28" customWidth="1"/>
    <col min="2052" max="2052" width="13.7109375" style="28" customWidth="1"/>
    <col min="2053" max="2053" width="12.85546875" style="28" customWidth="1"/>
    <col min="2054" max="2054" width="12.140625" style="28" bestFit="1" customWidth="1"/>
    <col min="2055" max="2055" width="12.85546875" style="28" bestFit="1" customWidth="1"/>
    <col min="2056" max="2056" width="11.140625" style="28" customWidth="1"/>
    <col min="2057" max="2057" width="12.42578125" style="28" customWidth="1"/>
    <col min="2058" max="2058" width="12.85546875" style="28" customWidth="1"/>
    <col min="2059" max="2059" width="13.85546875" style="28" customWidth="1"/>
    <col min="2060" max="2304" width="10.7109375" style="28"/>
    <col min="2305" max="2305" width="15.5703125" style="28" bestFit="1" customWidth="1"/>
    <col min="2306" max="2306" width="8.5703125" style="28" customWidth="1"/>
    <col min="2307" max="2307" width="12.42578125" style="28" customWidth="1"/>
    <col min="2308" max="2308" width="13.7109375" style="28" customWidth="1"/>
    <col min="2309" max="2309" width="12.85546875" style="28" customWidth="1"/>
    <col min="2310" max="2310" width="12.140625" style="28" bestFit="1" customWidth="1"/>
    <col min="2311" max="2311" width="12.85546875" style="28" bestFit="1" customWidth="1"/>
    <col min="2312" max="2312" width="11.140625" style="28" customWidth="1"/>
    <col min="2313" max="2313" width="12.42578125" style="28" customWidth="1"/>
    <col min="2314" max="2314" width="12.85546875" style="28" customWidth="1"/>
    <col min="2315" max="2315" width="13.85546875" style="28" customWidth="1"/>
    <col min="2316" max="2560" width="10.7109375" style="28"/>
    <col min="2561" max="2561" width="15.5703125" style="28" bestFit="1" customWidth="1"/>
    <col min="2562" max="2562" width="8.5703125" style="28" customWidth="1"/>
    <col min="2563" max="2563" width="12.42578125" style="28" customWidth="1"/>
    <col min="2564" max="2564" width="13.7109375" style="28" customWidth="1"/>
    <col min="2565" max="2565" width="12.85546875" style="28" customWidth="1"/>
    <col min="2566" max="2566" width="12.140625" style="28" bestFit="1" customWidth="1"/>
    <col min="2567" max="2567" width="12.85546875" style="28" bestFit="1" customWidth="1"/>
    <col min="2568" max="2568" width="11.140625" style="28" customWidth="1"/>
    <col min="2569" max="2569" width="12.42578125" style="28" customWidth="1"/>
    <col min="2570" max="2570" width="12.85546875" style="28" customWidth="1"/>
    <col min="2571" max="2571" width="13.85546875" style="28" customWidth="1"/>
    <col min="2572" max="2816" width="10.7109375" style="28"/>
    <col min="2817" max="2817" width="15.5703125" style="28" bestFit="1" customWidth="1"/>
    <col min="2818" max="2818" width="8.5703125" style="28" customWidth="1"/>
    <col min="2819" max="2819" width="12.42578125" style="28" customWidth="1"/>
    <col min="2820" max="2820" width="13.7109375" style="28" customWidth="1"/>
    <col min="2821" max="2821" width="12.85546875" style="28" customWidth="1"/>
    <col min="2822" max="2822" width="12.140625" style="28" bestFit="1" customWidth="1"/>
    <col min="2823" max="2823" width="12.85546875" style="28" bestFit="1" customWidth="1"/>
    <col min="2824" max="2824" width="11.140625" style="28" customWidth="1"/>
    <col min="2825" max="2825" width="12.42578125" style="28" customWidth="1"/>
    <col min="2826" max="2826" width="12.85546875" style="28" customWidth="1"/>
    <col min="2827" max="2827" width="13.85546875" style="28" customWidth="1"/>
    <col min="2828" max="3072" width="10.7109375" style="28"/>
    <col min="3073" max="3073" width="15.5703125" style="28" bestFit="1" customWidth="1"/>
    <col min="3074" max="3074" width="8.5703125" style="28" customWidth="1"/>
    <col min="3075" max="3075" width="12.42578125" style="28" customWidth="1"/>
    <col min="3076" max="3076" width="13.7109375" style="28" customWidth="1"/>
    <col min="3077" max="3077" width="12.85546875" style="28" customWidth="1"/>
    <col min="3078" max="3078" width="12.140625" style="28" bestFit="1" customWidth="1"/>
    <col min="3079" max="3079" width="12.85546875" style="28" bestFit="1" customWidth="1"/>
    <col min="3080" max="3080" width="11.140625" style="28" customWidth="1"/>
    <col min="3081" max="3081" width="12.42578125" style="28" customWidth="1"/>
    <col min="3082" max="3082" width="12.85546875" style="28" customWidth="1"/>
    <col min="3083" max="3083" width="13.85546875" style="28" customWidth="1"/>
    <col min="3084" max="3328" width="10.7109375" style="28"/>
    <col min="3329" max="3329" width="15.5703125" style="28" bestFit="1" customWidth="1"/>
    <col min="3330" max="3330" width="8.5703125" style="28" customWidth="1"/>
    <col min="3331" max="3331" width="12.42578125" style="28" customWidth="1"/>
    <col min="3332" max="3332" width="13.7109375" style="28" customWidth="1"/>
    <col min="3333" max="3333" width="12.85546875" style="28" customWidth="1"/>
    <col min="3334" max="3334" width="12.140625" style="28" bestFit="1" customWidth="1"/>
    <col min="3335" max="3335" width="12.85546875" style="28" bestFit="1" customWidth="1"/>
    <col min="3336" max="3336" width="11.140625" style="28" customWidth="1"/>
    <col min="3337" max="3337" width="12.42578125" style="28" customWidth="1"/>
    <col min="3338" max="3338" width="12.85546875" style="28" customWidth="1"/>
    <col min="3339" max="3339" width="13.85546875" style="28" customWidth="1"/>
    <col min="3340" max="3584" width="10.7109375" style="28"/>
    <col min="3585" max="3585" width="15.5703125" style="28" bestFit="1" customWidth="1"/>
    <col min="3586" max="3586" width="8.5703125" style="28" customWidth="1"/>
    <col min="3587" max="3587" width="12.42578125" style="28" customWidth="1"/>
    <col min="3588" max="3588" width="13.7109375" style="28" customWidth="1"/>
    <col min="3589" max="3589" width="12.85546875" style="28" customWidth="1"/>
    <col min="3590" max="3590" width="12.140625" style="28" bestFit="1" customWidth="1"/>
    <col min="3591" max="3591" width="12.85546875" style="28" bestFit="1" customWidth="1"/>
    <col min="3592" max="3592" width="11.140625" style="28" customWidth="1"/>
    <col min="3593" max="3593" width="12.42578125" style="28" customWidth="1"/>
    <col min="3594" max="3594" width="12.85546875" style="28" customWidth="1"/>
    <col min="3595" max="3595" width="13.85546875" style="28" customWidth="1"/>
    <col min="3596" max="3840" width="10.7109375" style="28"/>
    <col min="3841" max="3841" width="15.5703125" style="28" bestFit="1" customWidth="1"/>
    <col min="3842" max="3842" width="8.5703125" style="28" customWidth="1"/>
    <col min="3843" max="3843" width="12.42578125" style="28" customWidth="1"/>
    <col min="3844" max="3844" width="13.7109375" style="28" customWidth="1"/>
    <col min="3845" max="3845" width="12.85546875" style="28" customWidth="1"/>
    <col min="3846" max="3846" width="12.140625" style="28" bestFit="1" customWidth="1"/>
    <col min="3847" max="3847" width="12.85546875" style="28" bestFit="1" customWidth="1"/>
    <col min="3848" max="3848" width="11.140625" style="28" customWidth="1"/>
    <col min="3849" max="3849" width="12.42578125" style="28" customWidth="1"/>
    <col min="3850" max="3850" width="12.85546875" style="28" customWidth="1"/>
    <col min="3851" max="3851" width="13.85546875" style="28" customWidth="1"/>
    <col min="3852" max="4096" width="10.7109375" style="28"/>
    <col min="4097" max="4097" width="15.5703125" style="28" bestFit="1" customWidth="1"/>
    <col min="4098" max="4098" width="8.5703125" style="28" customWidth="1"/>
    <col min="4099" max="4099" width="12.42578125" style="28" customWidth="1"/>
    <col min="4100" max="4100" width="13.7109375" style="28" customWidth="1"/>
    <col min="4101" max="4101" width="12.85546875" style="28" customWidth="1"/>
    <col min="4102" max="4102" width="12.140625" style="28" bestFit="1" customWidth="1"/>
    <col min="4103" max="4103" width="12.85546875" style="28" bestFit="1" customWidth="1"/>
    <col min="4104" max="4104" width="11.140625" style="28" customWidth="1"/>
    <col min="4105" max="4105" width="12.42578125" style="28" customWidth="1"/>
    <col min="4106" max="4106" width="12.85546875" style="28" customWidth="1"/>
    <col min="4107" max="4107" width="13.85546875" style="28" customWidth="1"/>
    <col min="4108" max="4352" width="10.7109375" style="28"/>
    <col min="4353" max="4353" width="15.5703125" style="28" bestFit="1" customWidth="1"/>
    <col min="4354" max="4354" width="8.5703125" style="28" customWidth="1"/>
    <col min="4355" max="4355" width="12.42578125" style="28" customWidth="1"/>
    <col min="4356" max="4356" width="13.7109375" style="28" customWidth="1"/>
    <col min="4357" max="4357" width="12.85546875" style="28" customWidth="1"/>
    <col min="4358" max="4358" width="12.140625" style="28" bestFit="1" customWidth="1"/>
    <col min="4359" max="4359" width="12.85546875" style="28" bestFit="1" customWidth="1"/>
    <col min="4360" max="4360" width="11.140625" style="28" customWidth="1"/>
    <col min="4361" max="4361" width="12.42578125" style="28" customWidth="1"/>
    <col min="4362" max="4362" width="12.85546875" style="28" customWidth="1"/>
    <col min="4363" max="4363" width="13.85546875" style="28" customWidth="1"/>
    <col min="4364" max="4608" width="10.7109375" style="28"/>
    <col min="4609" max="4609" width="15.5703125" style="28" bestFit="1" customWidth="1"/>
    <col min="4610" max="4610" width="8.5703125" style="28" customWidth="1"/>
    <col min="4611" max="4611" width="12.42578125" style="28" customWidth="1"/>
    <col min="4612" max="4612" width="13.7109375" style="28" customWidth="1"/>
    <col min="4613" max="4613" width="12.85546875" style="28" customWidth="1"/>
    <col min="4614" max="4614" width="12.140625" style="28" bestFit="1" customWidth="1"/>
    <col min="4615" max="4615" width="12.85546875" style="28" bestFit="1" customWidth="1"/>
    <col min="4616" max="4616" width="11.140625" style="28" customWidth="1"/>
    <col min="4617" max="4617" width="12.42578125" style="28" customWidth="1"/>
    <col min="4618" max="4618" width="12.85546875" style="28" customWidth="1"/>
    <col min="4619" max="4619" width="13.85546875" style="28" customWidth="1"/>
    <col min="4620" max="4864" width="10.7109375" style="28"/>
    <col min="4865" max="4865" width="15.5703125" style="28" bestFit="1" customWidth="1"/>
    <col min="4866" max="4866" width="8.5703125" style="28" customWidth="1"/>
    <col min="4867" max="4867" width="12.42578125" style="28" customWidth="1"/>
    <col min="4868" max="4868" width="13.7109375" style="28" customWidth="1"/>
    <col min="4869" max="4869" width="12.85546875" style="28" customWidth="1"/>
    <col min="4870" max="4870" width="12.140625" style="28" bestFit="1" customWidth="1"/>
    <col min="4871" max="4871" width="12.85546875" style="28" bestFit="1" customWidth="1"/>
    <col min="4872" max="4872" width="11.140625" style="28" customWidth="1"/>
    <col min="4873" max="4873" width="12.42578125" style="28" customWidth="1"/>
    <col min="4874" max="4874" width="12.85546875" style="28" customWidth="1"/>
    <col min="4875" max="4875" width="13.85546875" style="28" customWidth="1"/>
    <col min="4876" max="5120" width="10.7109375" style="28"/>
    <col min="5121" max="5121" width="15.5703125" style="28" bestFit="1" customWidth="1"/>
    <col min="5122" max="5122" width="8.5703125" style="28" customWidth="1"/>
    <col min="5123" max="5123" width="12.42578125" style="28" customWidth="1"/>
    <col min="5124" max="5124" width="13.7109375" style="28" customWidth="1"/>
    <col min="5125" max="5125" width="12.85546875" style="28" customWidth="1"/>
    <col min="5126" max="5126" width="12.140625" style="28" bestFit="1" customWidth="1"/>
    <col min="5127" max="5127" width="12.85546875" style="28" bestFit="1" customWidth="1"/>
    <col min="5128" max="5128" width="11.140625" style="28" customWidth="1"/>
    <col min="5129" max="5129" width="12.42578125" style="28" customWidth="1"/>
    <col min="5130" max="5130" width="12.85546875" style="28" customWidth="1"/>
    <col min="5131" max="5131" width="13.85546875" style="28" customWidth="1"/>
    <col min="5132" max="5376" width="10.7109375" style="28"/>
    <col min="5377" max="5377" width="15.5703125" style="28" bestFit="1" customWidth="1"/>
    <col min="5378" max="5378" width="8.5703125" style="28" customWidth="1"/>
    <col min="5379" max="5379" width="12.42578125" style="28" customWidth="1"/>
    <col min="5380" max="5380" width="13.7109375" style="28" customWidth="1"/>
    <col min="5381" max="5381" width="12.85546875" style="28" customWidth="1"/>
    <col min="5382" max="5382" width="12.140625" style="28" bestFit="1" customWidth="1"/>
    <col min="5383" max="5383" width="12.85546875" style="28" bestFit="1" customWidth="1"/>
    <col min="5384" max="5384" width="11.140625" style="28" customWidth="1"/>
    <col min="5385" max="5385" width="12.42578125" style="28" customWidth="1"/>
    <col min="5386" max="5386" width="12.85546875" style="28" customWidth="1"/>
    <col min="5387" max="5387" width="13.85546875" style="28" customWidth="1"/>
    <col min="5388" max="5632" width="10.7109375" style="28"/>
    <col min="5633" max="5633" width="15.5703125" style="28" bestFit="1" customWidth="1"/>
    <col min="5634" max="5634" width="8.5703125" style="28" customWidth="1"/>
    <col min="5635" max="5635" width="12.42578125" style="28" customWidth="1"/>
    <col min="5636" max="5636" width="13.7109375" style="28" customWidth="1"/>
    <col min="5637" max="5637" width="12.85546875" style="28" customWidth="1"/>
    <col min="5638" max="5638" width="12.140625" style="28" bestFit="1" customWidth="1"/>
    <col min="5639" max="5639" width="12.85546875" style="28" bestFit="1" customWidth="1"/>
    <col min="5640" max="5640" width="11.140625" style="28" customWidth="1"/>
    <col min="5641" max="5641" width="12.42578125" style="28" customWidth="1"/>
    <col min="5642" max="5642" width="12.85546875" style="28" customWidth="1"/>
    <col min="5643" max="5643" width="13.85546875" style="28" customWidth="1"/>
    <col min="5644" max="5888" width="10.7109375" style="28"/>
    <col min="5889" max="5889" width="15.5703125" style="28" bestFit="1" customWidth="1"/>
    <col min="5890" max="5890" width="8.5703125" style="28" customWidth="1"/>
    <col min="5891" max="5891" width="12.42578125" style="28" customWidth="1"/>
    <col min="5892" max="5892" width="13.7109375" style="28" customWidth="1"/>
    <col min="5893" max="5893" width="12.85546875" style="28" customWidth="1"/>
    <col min="5894" max="5894" width="12.140625" style="28" bestFit="1" customWidth="1"/>
    <col min="5895" max="5895" width="12.85546875" style="28" bestFit="1" customWidth="1"/>
    <col min="5896" max="5896" width="11.140625" style="28" customWidth="1"/>
    <col min="5897" max="5897" width="12.42578125" style="28" customWidth="1"/>
    <col min="5898" max="5898" width="12.85546875" style="28" customWidth="1"/>
    <col min="5899" max="5899" width="13.85546875" style="28" customWidth="1"/>
    <col min="5900" max="6144" width="10.7109375" style="28"/>
    <col min="6145" max="6145" width="15.5703125" style="28" bestFit="1" customWidth="1"/>
    <col min="6146" max="6146" width="8.5703125" style="28" customWidth="1"/>
    <col min="6147" max="6147" width="12.42578125" style="28" customWidth="1"/>
    <col min="6148" max="6148" width="13.7109375" style="28" customWidth="1"/>
    <col min="6149" max="6149" width="12.85546875" style="28" customWidth="1"/>
    <col min="6150" max="6150" width="12.140625" style="28" bestFit="1" customWidth="1"/>
    <col min="6151" max="6151" width="12.85546875" style="28" bestFit="1" customWidth="1"/>
    <col min="6152" max="6152" width="11.140625" style="28" customWidth="1"/>
    <col min="6153" max="6153" width="12.42578125" style="28" customWidth="1"/>
    <col min="6154" max="6154" width="12.85546875" style="28" customWidth="1"/>
    <col min="6155" max="6155" width="13.85546875" style="28" customWidth="1"/>
    <col min="6156" max="6400" width="10.7109375" style="28"/>
    <col min="6401" max="6401" width="15.5703125" style="28" bestFit="1" customWidth="1"/>
    <col min="6402" max="6402" width="8.5703125" style="28" customWidth="1"/>
    <col min="6403" max="6403" width="12.42578125" style="28" customWidth="1"/>
    <col min="6404" max="6404" width="13.7109375" style="28" customWidth="1"/>
    <col min="6405" max="6405" width="12.85546875" style="28" customWidth="1"/>
    <col min="6406" max="6406" width="12.140625" style="28" bestFit="1" customWidth="1"/>
    <col min="6407" max="6407" width="12.85546875" style="28" bestFit="1" customWidth="1"/>
    <col min="6408" max="6408" width="11.140625" style="28" customWidth="1"/>
    <col min="6409" max="6409" width="12.42578125" style="28" customWidth="1"/>
    <col min="6410" max="6410" width="12.85546875" style="28" customWidth="1"/>
    <col min="6411" max="6411" width="13.85546875" style="28" customWidth="1"/>
    <col min="6412" max="6656" width="10.7109375" style="28"/>
    <col min="6657" max="6657" width="15.5703125" style="28" bestFit="1" customWidth="1"/>
    <col min="6658" max="6658" width="8.5703125" style="28" customWidth="1"/>
    <col min="6659" max="6659" width="12.42578125" style="28" customWidth="1"/>
    <col min="6660" max="6660" width="13.7109375" style="28" customWidth="1"/>
    <col min="6661" max="6661" width="12.85546875" style="28" customWidth="1"/>
    <col min="6662" max="6662" width="12.140625" style="28" bestFit="1" customWidth="1"/>
    <col min="6663" max="6663" width="12.85546875" style="28" bestFit="1" customWidth="1"/>
    <col min="6664" max="6664" width="11.140625" style="28" customWidth="1"/>
    <col min="6665" max="6665" width="12.42578125" style="28" customWidth="1"/>
    <col min="6666" max="6666" width="12.85546875" style="28" customWidth="1"/>
    <col min="6667" max="6667" width="13.85546875" style="28" customWidth="1"/>
    <col min="6668" max="6912" width="10.7109375" style="28"/>
    <col min="6913" max="6913" width="15.5703125" style="28" bestFit="1" customWidth="1"/>
    <col min="6914" max="6914" width="8.5703125" style="28" customWidth="1"/>
    <col min="6915" max="6915" width="12.42578125" style="28" customWidth="1"/>
    <col min="6916" max="6916" width="13.7109375" style="28" customWidth="1"/>
    <col min="6917" max="6917" width="12.85546875" style="28" customWidth="1"/>
    <col min="6918" max="6918" width="12.140625" style="28" bestFit="1" customWidth="1"/>
    <col min="6919" max="6919" width="12.85546875" style="28" bestFit="1" customWidth="1"/>
    <col min="6920" max="6920" width="11.140625" style="28" customWidth="1"/>
    <col min="6921" max="6921" width="12.42578125" style="28" customWidth="1"/>
    <col min="6922" max="6922" width="12.85546875" style="28" customWidth="1"/>
    <col min="6923" max="6923" width="13.85546875" style="28" customWidth="1"/>
    <col min="6924" max="7168" width="10.7109375" style="28"/>
    <col min="7169" max="7169" width="15.5703125" style="28" bestFit="1" customWidth="1"/>
    <col min="7170" max="7170" width="8.5703125" style="28" customWidth="1"/>
    <col min="7171" max="7171" width="12.42578125" style="28" customWidth="1"/>
    <col min="7172" max="7172" width="13.7109375" style="28" customWidth="1"/>
    <col min="7173" max="7173" width="12.85546875" style="28" customWidth="1"/>
    <col min="7174" max="7174" width="12.140625" style="28" bestFit="1" customWidth="1"/>
    <col min="7175" max="7175" width="12.85546875" style="28" bestFit="1" customWidth="1"/>
    <col min="7176" max="7176" width="11.140625" style="28" customWidth="1"/>
    <col min="7177" max="7177" width="12.42578125" style="28" customWidth="1"/>
    <col min="7178" max="7178" width="12.85546875" style="28" customWidth="1"/>
    <col min="7179" max="7179" width="13.85546875" style="28" customWidth="1"/>
    <col min="7180" max="7424" width="10.7109375" style="28"/>
    <col min="7425" max="7425" width="15.5703125" style="28" bestFit="1" customWidth="1"/>
    <col min="7426" max="7426" width="8.5703125" style="28" customWidth="1"/>
    <col min="7427" max="7427" width="12.42578125" style="28" customWidth="1"/>
    <col min="7428" max="7428" width="13.7109375" style="28" customWidth="1"/>
    <col min="7429" max="7429" width="12.85546875" style="28" customWidth="1"/>
    <col min="7430" max="7430" width="12.140625" style="28" bestFit="1" customWidth="1"/>
    <col min="7431" max="7431" width="12.85546875" style="28" bestFit="1" customWidth="1"/>
    <col min="7432" max="7432" width="11.140625" style="28" customWidth="1"/>
    <col min="7433" max="7433" width="12.42578125" style="28" customWidth="1"/>
    <col min="7434" max="7434" width="12.85546875" style="28" customWidth="1"/>
    <col min="7435" max="7435" width="13.85546875" style="28" customWidth="1"/>
    <col min="7436" max="7680" width="10.7109375" style="28"/>
    <col min="7681" max="7681" width="15.5703125" style="28" bestFit="1" customWidth="1"/>
    <col min="7682" max="7682" width="8.5703125" style="28" customWidth="1"/>
    <col min="7683" max="7683" width="12.42578125" style="28" customWidth="1"/>
    <col min="7684" max="7684" width="13.7109375" style="28" customWidth="1"/>
    <col min="7685" max="7685" width="12.85546875" style="28" customWidth="1"/>
    <col min="7686" max="7686" width="12.140625" style="28" bestFit="1" customWidth="1"/>
    <col min="7687" max="7687" width="12.85546875" style="28" bestFit="1" customWidth="1"/>
    <col min="7688" max="7688" width="11.140625" style="28" customWidth="1"/>
    <col min="7689" max="7689" width="12.42578125" style="28" customWidth="1"/>
    <col min="7690" max="7690" width="12.85546875" style="28" customWidth="1"/>
    <col min="7691" max="7691" width="13.85546875" style="28" customWidth="1"/>
    <col min="7692" max="7936" width="10.7109375" style="28"/>
    <col min="7937" max="7937" width="15.5703125" style="28" bestFit="1" customWidth="1"/>
    <col min="7938" max="7938" width="8.5703125" style="28" customWidth="1"/>
    <col min="7939" max="7939" width="12.42578125" style="28" customWidth="1"/>
    <col min="7940" max="7940" width="13.7109375" style="28" customWidth="1"/>
    <col min="7941" max="7941" width="12.85546875" style="28" customWidth="1"/>
    <col min="7942" max="7942" width="12.140625" style="28" bestFit="1" customWidth="1"/>
    <col min="7943" max="7943" width="12.85546875" style="28" bestFit="1" customWidth="1"/>
    <col min="7944" max="7944" width="11.140625" style="28" customWidth="1"/>
    <col min="7945" max="7945" width="12.42578125" style="28" customWidth="1"/>
    <col min="7946" max="7946" width="12.85546875" style="28" customWidth="1"/>
    <col min="7947" max="7947" width="13.85546875" style="28" customWidth="1"/>
    <col min="7948" max="8192" width="10.7109375" style="28"/>
    <col min="8193" max="8193" width="15.5703125" style="28" bestFit="1" customWidth="1"/>
    <col min="8194" max="8194" width="8.5703125" style="28" customWidth="1"/>
    <col min="8195" max="8195" width="12.42578125" style="28" customWidth="1"/>
    <col min="8196" max="8196" width="13.7109375" style="28" customWidth="1"/>
    <col min="8197" max="8197" width="12.85546875" style="28" customWidth="1"/>
    <col min="8198" max="8198" width="12.140625" style="28" bestFit="1" customWidth="1"/>
    <col min="8199" max="8199" width="12.85546875" style="28" bestFit="1" customWidth="1"/>
    <col min="8200" max="8200" width="11.140625" style="28" customWidth="1"/>
    <col min="8201" max="8201" width="12.42578125" style="28" customWidth="1"/>
    <col min="8202" max="8202" width="12.85546875" style="28" customWidth="1"/>
    <col min="8203" max="8203" width="13.85546875" style="28" customWidth="1"/>
    <col min="8204" max="8448" width="10.7109375" style="28"/>
    <col min="8449" max="8449" width="15.5703125" style="28" bestFit="1" customWidth="1"/>
    <col min="8450" max="8450" width="8.5703125" style="28" customWidth="1"/>
    <col min="8451" max="8451" width="12.42578125" style="28" customWidth="1"/>
    <col min="8452" max="8452" width="13.7109375" style="28" customWidth="1"/>
    <col min="8453" max="8453" width="12.85546875" style="28" customWidth="1"/>
    <col min="8454" max="8454" width="12.140625" style="28" bestFit="1" customWidth="1"/>
    <col min="8455" max="8455" width="12.85546875" style="28" bestFit="1" customWidth="1"/>
    <col min="8456" max="8456" width="11.140625" style="28" customWidth="1"/>
    <col min="8457" max="8457" width="12.42578125" style="28" customWidth="1"/>
    <col min="8458" max="8458" width="12.85546875" style="28" customWidth="1"/>
    <col min="8459" max="8459" width="13.85546875" style="28" customWidth="1"/>
    <col min="8460" max="8704" width="10.7109375" style="28"/>
    <col min="8705" max="8705" width="15.5703125" style="28" bestFit="1" customWidth="1"/>
    <col min="8706" max="8706" width="8.5703125" style="28" customWidth="1"/>
    <col min="8707" max="8707" width="12.42578125" style="28" customWidth="1"/>
    <col min="8708" max="8708" width="13.7109375" style="28" customWidth="1"/>
    <col min="8709" max="8709" width="12.85546875" style="28" customWidth="1"/>
    <col min="8710" max="8710" width="12.140625" style="28" bestFit="1" customWidth="1"/>
    <col min="8711" max="8711" width="12.85546875" style="28" bestFit="1" customWidth="1"/>
    <col min="8712" max="8712" width="11.140625" style="28" customWidth="1"/>
    <col min="8713" max="8713" width="12.42578125" style="28" customWidth="1"/>
    <col min="8714" max="8714" width="12.85546875" style="28" customWidth="1"/>
    <col min="8715" max="8715" width="13.85546875" style="28" customWidth="1"/>
    <col min="8716" max="8960" width="10.7109375" style="28"/>
    <col min="8961" max="8961" width="15.5703125" style="28" bestFit="1" customWidth="1"/>
    <col min="8962" max="8962" width="8.5703125" style="28" customWidth="1"/>
    <col min="8963" max="8963" width="12.42578125" style="28" customWidth="1"/>
    <col min="8964" max="8964" width="13.7109375" style="28" customWidth="1"/>
    <col min="8965" max="8965" width="12.85546875" style="28" customWidth="1"/>
    <col min="8966" max="8966" width="12.140625" style="28" bestFit="1" customWidth="1"/>
    <col min="8967" max="8967" width="12.85546875" style="28" bestFit="1" customWidth="1"/>
    <col min="8968" max="8968" width="11.140625" style="28" customWidth="1"/>
    <col min="8969" max="8969" width="12.42578125" style="28" customWidth="1"/>
    <col min="8970" max="8970" width="12.85546875" style="28" customWidth="1"/>
    <col min="8971" max="8971" width="13.85546875" style="28" customWidth="1"/>
    <col min="8972" max="9216" width="10.7109375" style="28"/>
    <col min="9217" max="9217" width="15.5703125" style="28" bestFit="1" customWidth="1"/>
    <col min="9218" max="9218" width="8.5703125" style="28" customWidth="1"/>
    <col min="9219" max="9219" width="12.42578125" style="28" customWidth="1"/>
    <col min="9220" max="9220" width="13.7109375" style="28" customWidth="1"/>
    <col min="9221" max="9221" width="12.85546875" style="28" customWidth="1"/>
    <col min="9222" max="9222" width="12.140625" style="28" bestFit="1" customWidth="1"/>
    <col min="9223" max="9223" width="12.85546875" style="28" bestFit="1" customWidth="1"/>
    <col min="9224" max="9224" width="11.140625" style="28" customWidth="1"/>
    <col min="9225" max="9225" width="12.42578125" style="28" customWidth="1"/>
    <col min="9226" max="9226" width="12.85546875" style="28" customWidth="1"/>
    <col min="9227" max="9227" width="13.85546875" style="28" customWidth="1"/>
    <col min="9228" max="9472" width="10.7109375" style="28"/>
    <col min="9473" max="9473" width="15.5703125" style="28" bestFit="1" customWidth="1"/>
    <col min="9474" max="9474" width="8.5703125" style="28" customWidth="1"/>
    <col min="9475" max="9475" width="12.42578125" style="28" customWidth="1"/>
    <col min="9476" max="9476" width="13.7109375" style="28" customWidth="1"/>
    <col min="9477" max="9477" width="12.85546875" style="28" customWidth="1"/>
    <col min="9478" max="9478" width="12.140625" style="28" bestFit="1" customWidth="1"/>
    <col min="9479" max="9479" width="12.85546875" style="28" bestFit="1" customWidth="1"/>
    <col min="9480" max="9480" width="11.140625" style="28" customWidth="1"/>
    <col min="9481" max="9481" width="12.42578125" style="28" customWidth="1"/>
    <col min="9482" max="9482" width="12.85546875" style="28" customWidth="1"/>
    <col min="9483" max="9483" width="13.85546875" style="28" customWidth="1"/>
    <col min="9484" max="9728" width="10.7109375" style="28"/>
    <col min="9729" max="9729" width="15.5703125" style="28" bestFit="1" customWidth="1"/>
    <col min="9730" max="9730" width="8.5703125" style="28" customWidth="1"/>
    <col min="9731" max="9731" width="12.42578125" style="28" customWidth="1"/>
    <col min="9732" max="9732" width="13.7109375" style="28" customWidth="1"/>
    <col min="9733" max="9733" width="12.85546875" style="28" customWidth="1"/>
    <col min="9734" max="9734" width="12.140625" style="28" bestFit="1" customWidth="1"/>
    <col min="9735" max="9735" width="12.85546875" style="28" bestFit="1" customWidth="1"/>
    <col min="9736" max="9736" width="11.140625" style="28" customWidth="1"/>
    <col min="9737" max="9737" width="12.42578125" style="28" customWidth="1"/>
    <col min="9738" max="9738" width="12.85546875" style="28" customWidth="1"/>
    <col min="9739" max="9739" width="13.85546875" style="28" customWidth="1"/>
    <col min="9740" max="9984" width="10.7109375" style="28"/>
    <col min="9985" max="9985" width="15.5703125" style="28" bestFit="1" customWidth="1"/>
    <col min="9986" max="9986" width="8.5703125" style="28" customWidth="1"/>
    <col min="9987" max="9987" width="12.42578125" style="28" customWidth="1"/>
    <col min="9988" max="9988" width="13.7109375" style="28" customWidth="1"/>
    <col min="9989" max="9989" width="12.85546875" style="28" customWidth="1"/>
    <col min="9990" max="9990" width="12.140625" style="28" bestFit="1" customWidth="1"/>
    <col min="9991" max="9991" width="12.85546875" style="28" bestFit="1" customWidth="1"/>
    <col min="9992" max="9992" width="11.140625" style="28" customWidth="1"/>
    <col min="9993" max="9993" width="12.42578125" style="28" customWidth="1"/>
    <col min="9994" max="9994" width="12.85546875" style="28" customWidth="1"/>
    <col min="9995" max="9995" width="13.85546875" style="28" customWidth="1"/>
    <col min="9996" max="10240" width="10.7109375" style="28"/>
    <col min="10241" max="10241" width="15.5703125" style="28" bestFit="1" customWidth="1"/>
    <col min="10242" max="10242" width="8.5703125" style="28" customWidth="1"/>
    <col min="10243" max="10243" width="12.42578125" style="28" customWidth="1"/>
    <col min="10244" max="10244" width="13.7109375" style="28" customWidth="1"/>
    <col min="10245" max="10245" width="12.85546875" style="28" customWidth="1"/>
    <col min="10246" max="10246" width="12.140625" style="28" bestFit="1" customWidth="1"/>
    <col min="10247" max="10247" width="12.85546875" style="28" bestFit="1" customWidth="1"/>
    <col min="10248" max="10248" width="11.140625" style="28" customWidth="1"/>
    <col min="10249" max="10249" width="12.42578125" style="28" customWidth="1"/>
    <col min="10250" max="10250" width="12.85546875" style="28" customWidth="1"/>
    <col min="10251" max="10251" width="13.85546875" style="28" customWidth="1"/>
    <col min="10252" max="10496" width="10.7109375" style="28"/>
    <col min="10497" max="10497" width="15.5703125" style="28" bestFit="1" customWidth="1"/>
    <col min="10498" max="10498" width="8.5703125" style="28" customWidth="1"/>
    <col min="10499" max="10499" width="12.42578125" style="28" customWidth="1"/>
    <col min="10500" max="10500" width="13.7109375" style="28" customWidth="1"/>
    <col min="10501" max="10501" width="12.85546875" style="28" customWidth="1"/>
    <col min="10502" max="10502" width="12.140625" style="28" bestFit="1" customWidth="1"/>
    <col min="10503" max="10503" width="12.85546875" style="28" bestFit="1" customWidth="1"/>
    <col min="10504" max="10504" width="11.140625" style="28" customWidth="1"/>
    <col min="10505" max="10505" width="12.42578125" style="28" customWidth="1"/>
    <col min="10506" max="10506" width="12.85546875" style="28" customWidth="1"/>
    <col min="10507" max="10507" width="13.85546875" style="28" customWidth="1"/>
    <col min="10508" max="10752" width="10.7109375" style="28"/>
    <col min="10753" max="10753" width="15.5703125" style="28" bestFit="1" customWidth="1"/>
    <col min="10754" max="10754" width="8.5703125" style="28" customWidth="1"/>
    <col min="10755" max="10755" width="12.42578125" style="28" customWidth="1"/>
    <col min="10756" max="10756" width="13.7109375" style="28" customWidth="1"/>
    <col min="10757" max="10757" width="12.85546875" style="28" customWidth="1"/>
    <col min="10758" max="10758" width="12.140625" style="28" bestFit="1" customWidth="1"/>
    <col min="10759" max="10759" width="12.85546875" style="28" bestFit="1" customWidth="1"/>
    <col min="10760" max="10760" width="11.140625" style="28" customWidth="1"/>
    <col min="10761" max="10761" width="12.42578125" style="28" customWidth="1"/>
    <col min="10762" max="10762" width="12.85546875" style="28" customWidth="1"/>
    <col min="10763" max="10763" width="13.85546875" style="28" customWidth="1"/>
    <col min="10764" max="11008" width="10.7109375" style="28"/>
    <col min="11009" max="11009" width="15.5703125" style="28" bestFit="1" customWidth="1"/>
    <col min="11010" max="11010" width="8.5703125" style="28" customWidth="1"/>
    <col min="11011" max="11011" width="12.42578125" style="28" customWidth="1"/>
    <col min="11012" max="11012" width="13.7109375" style="28" customWidth="1"/>
    <col min="11013" max="11013" width="12.85546875" style="28" customWidth="1"/>
    <col min="11014" max="11014" width="12.140625" style="28" bestFit="1" customWidth="1"/>
    <col min="11015" max="11015" width="12.85546875" style="28" bestFit="1" customWidth="1"/>
    <col min="11016" max="11016" width="11.140625" style="28" customWidth="1"/>
    <col min="11017" max="11017" width="12.42578125" style="28" customWidth="1"/>
    <col min="11018" max="11018" width="12.85546875" style="28" customWidth="1"/>
    <col min="11019" max="11019" width="13.85546875" style="28" customWidth="1"/>
    <col min="11020" max="11264" width="10.7109375" style="28"/>
    <col min="11265" max="11265" width="15.5703125" style="28" bestFit="1" customWidth="1"/>
    <col min="11266" max="11266" width="8.5703125" style="28" customWidth="1"/>
    <col min="11267" max="11267" width="12.42578125" style="28" customWidth="1"/>
    <col min="11268" max="11268" width="13.7109375" style="28" customWidth="1"/>
    <col min="11269" max="11269" width="12.85546875" style="28" customWidth="1"/>
    <col min="11270" max="11270" width="12.140625" style="28" bestFit="1" customWidth="1"/>
    <col min="11271" max="11271" width="12.85546875" style="28" bestFit="1" customWidth="1"/>
    <col min="11272" max="11272" width="11.140625" style="28" customWidth="1"/>
    <col min="11273" max="11273" width="12.42578125" style="28" customWidth="1"/>
    <col min="11274" max="11274" width="12.85546875" style="28" customWidth="1"/>
    <col min="11275" max="11275" width="13.85546875" style="28" customWidth="1"/>
    <col min="11276" max="11520" width="10.7109375" style="28"/>
    <col min="11521" max="11521" width="15.5703125" style="28" bestFit="1" customWidth="1"/>
    <col min="11522" max="11522" width="8.5703125" style="28" customWidth="1"/>
    <col min="11523" max="11523" width="12.42578125" style="28" customWidth="1"/>
    <col min="11524" max="11524" width="13.7109375" style="28" customWidth="1"/>
    <col min="11525" max="11525" width="12.85546875" style="28" customWidth="1"/>
    <col min="11526" max="11526" width="12.140625" style="28" bestFit="1" customWidth="1"/>
    <col min="11527" max="11527" width="12.85546875" style="28" bestFit="1" customWidth="1"/>
    <col min="11528" max="11528" width="11.140625" style="28" customWidth="1"/>
    <col min="11529" max="11529" width="12.42578125" style="28" customWidth="1"/>
    <col min="11530" max="11530" width="12.85546875" style="28" customWidth="1"/>
    <col min="11531" max="11531" width="13.85546875" style="28" customWidth="1"/>
    <col min="11532" max="11776" width="10.7109375" style="28"/>
    <col min="11777" max="11777" width="15.5703125" style="28" bestFit="1" customWidth="1"/>
    <col min="11778" max="11778" width="8.5703125" style="28" customWidth="1"/>
    <col min="11779" max="11779" width="12.42578125" style="28" customWidth="1"/>
    <col min="11780" max="11780" width="13.7109375" style="28" customWidth="1"/>
    <col min="11781" max="11781" width="12.85546875" style="28" customWidth="1"/>
    <col min="11782" max="11782" width="12.140625" style="28" bestFit="1" customWidth="1"/>
    <col min="11783" max="11783" width="12.85546875" style="28" bestFit="1" customWidth="1"/>
    <col min="11784" max="11784" width="11.140625" style="28" customWidth="1"/>
    <col min="11785" max="11785" width="12.42578125" style="28" customWidth="1"/>
    <col min="11786" max="11786" width="12.85546875" style="28" customWidth="1"/>
    <col min="11787" max="11787" width="13.85546875" style="28" customWidth="1"/>
    <col min="11788" max="12032" width="10.7109375" style="28"/>
    <col min="12033" max="12033" width="15.5703125" style="28" bestFit="1" customWidth="1"/>
    <col min="12034" max="12034" width="8.5703125" style="28" customWidth="1"/>
    <col min="12035" max="12035" width="12.42578125" style="28" customWidth="1"/>
    <col min="12036" max="12036" width="13.7109375" style="28" customWidth="1"/>
    <col min="12037" max="12037" width="12.85546875" style="28" customWidth="1"/>
    <col min="12038" max="12038" width="12.140625" style="28" bestFit="1" customWidth="1"/>
    <col min="12039" max="12039" width="12.85546875" style="28" bestFit="1" customWidth="1"/>
    <col min="12040" max="12040" width="11.140625" style="28" customWidth="1"/>
    <col min="12041" max="12041" width="12.42578125" style="28" customWidth="1"/>
    <col min="12042" max="12042" width="12.85546875" style="28" customWidth="1"/>
    <col min="12043" max="12043" width="13.85546875" style="28" customWidth="1"/>
    <col min="12044" max="12288" width="10.7109375" style="28"/>
    <col min="12289" max="12289" width="15.5703125" style="28" bestFit="1" customWidth="1"/>
    <col min="12290" max="12290" width="8.5703125" style="28" customWidth="1"/>
    <col min="12291" max="12291" width="12.42578125" style="28" customWidth="1"/>
    <col min="12292" max="12292" width="13.7109375" style="28" customWidth="1"/>
    <col min="12293" max="12293" width="12.85546875" style="28" customWidth="1"/>
    <col min="12294" max="12294" width="12.140625" style="28" bestFit="1" customWidth="1"/>
    <col min="12295" max="12295" width="12.85546875" style="28" bestFit="1" customWidth="1"/>
    <col min="12296" max="12296" width="11.140625" style="28" customWidth="1"/>
    <col min="12297" max="12297" width="12.42578125" style="28" customWidth="1"/>
    <col min="12298" max="12298" width="12.85546875" style="28" customWidth="1"/>
    <col min="12299" max="12299" width="13.85546875" style="28" customWidth="1"/>
    <col min="12300" max="12544" width="10.7109375" style="28"/>
    <col min="12545" max="12545" width="15.5703125" style="28" bestFit="1" customWidth="1"/>
    <col min="12546" max="12546" width="8.5703125" style="28" customWidth="1"/>
    <col min="12547" max="12547" width="12.42578125" style="28" customWidth="1"/>
    <col min="12548" max="12548" width="13.7109375" style="28" customWidth="1"/>
    <col min="12549" max="12549" width="12.85546875" style="28" customWidth="1"/>
    <col min="12550" max="12550" width="12.140625" style="28" bestFit="1" customWidth="1"/>
    <col min="12551" max="12551" width="12.85546875" style="28" bestFit="1" customWidth="1"/>
    <col min="12552" max="12552" width="11.140625" style="28" customWidth="1"/>
    <col min="12553" max="12553" width="12.42578125" style="28" customWidth="1"/>
    <col min="12554" max="12554" width="12.85546875" style="28" customWidth="1"/>
    <col min="12555" max="12555" width="13.85546875" style="28" customWidth="1"/>
    <col min="12556" max="12800" width="10.7109375" style="28"/>
    <col min="12801" max="12801" width="15.5703125" style="28" bestFit="1" customWidth="1"/>
    <col min="12802" max="12802" width="8.5703125" style="28" customWidth="1"/>
    <col min="12803" max="12803" width="12.42578125" style="28" customWidth="1"/>
    <col min="12804" max="12804" width="13.7109375" style="28" customWidth="1"/>
    <col min="12805" max="12805" width="12.85546875" style="28" customWidth="1"/>
    <col min="12806" max="12806" width="12.140625" style="28" bestFit="1" customWidth="1"/>
    <col min="12807" max="12807" width="12.85546875" style="28" bestFit="1" customWidth="1"/>
    <col min="12808" max="12808" width="11.140625" style="28" customWidth="1"/>
    <col min="12809" max="12809" width="12.42578125" style="28" customWidth="1"/>
    <col min="12810" max="12810" width="12.85546875" style="28" customWidth="1"/>
    <col min="12811" max="12811" width="13.85546875" style="28" customWidth="1"/>
    <col min="12812" max="13056" width="10.7109375" style="28"/>
    <col min="13057" max="13057" width="15.5703125" style="28" bestFit="1" customWidth="1"/>
    <col min="13058" max="13058" width="8.5703125" style="28" customWidth="1"/>
    <col min="13059" max="13059" width="12.42578125" style="28" customWidth="1"/>
    <col min="13060" max="13060" width="13.7109375" style="28" customWidth="1"/>
    <col min="13061" max="13061" width="12.85546875" style="28" customWidth="1"/>
    <col min="13062" max="13062" width="12.140625" style="28" bestFit="1" customWidth="1"/>
    <col min="13063" max="13063" width="12.85546875" style="28" bestFit="1" customWidth="1"/>
    <col min="13064" max="13064" width="11.140625" style="28" customWidth="1"/>
    <col min="13065" max="13065" width="12.42578125" style="28" customWidth="1"/>
    <col min="13066" max="13066" width="12.85546875" style="28" customWidth="1"/>
    <col min="13067" max="13067" width="13.85546875" style="28" customWidth="1"/>
    <col min="13068" max="13312" width="10.7109375" style="28"/>
    <col min="13313" max="13313" width="15.5703125" style="28" bestFit="1" customWidth="1"/>
    <col min="13314" max="13314" width="8.5703125" style="28" customWidth="1"/>
    <col min="13315" max="13315" width="12.42578125" style="28" customWidth="1"/>
    <col min="13316" max="13316" width="13.7109375" style="28" customWidth="1"/>
    <col min="13317" max="13317" width="12.85546875" style="28" customWidth="1"/>
    <col min="13318" max="13318" width="12.140625" style="28" bestFit="1" customWidth="1"/>
    <col min="13319" max="13319" width="12.85546875" style="28" bestFit="1" customWidth="1"/>
    <col min="13320" max="13320" width="11.140625" style="28" customWidth="1"/>
    <col min="13321" max="13321" width="12.42578125" style="28" customWidth="1"/>
    <col min="13322" max="13322" width="12.85546875" style="28" customWidth="1"/>
    <col min="13323" max="13323" width="13.85546875" style="28" customWidth="1"/>
    <col min="13324" max="13568" width="10.7109375" style="28"/>
    <col min="13569" max="13569" width="15.5703125" style="28" bestFit="1" customWidth="1"/>
    <col min="13570" max="13570" width="8.5703125" style="28" customWidth="1"/>
    <col min="13571" max="13571" width="12.42578125" style="28" customWidth="1"/>
    <col min="13572" max="13572" width="13.7109375" style="28" customWidth="1"/>
    <col min="13573" max="13573" width="12.85546875" style="28" customWidth="1"/>
    <col min="13574" max="13574" width="12.140625" style="28" bestFit="1" customWidth="1"/>
    <col min="13575" max="13575" width="12.85546875" style="28" bestFit="1" customWidth="1"/>
    <col min="13576" max="13576" width="11.140625" style="28" customWidth="1"/>
    <col min="13577" max="13577" width="12.42578125" style="28" customWidth="1"/>
    <col min="13578" max="13578" width="12.85546875" style="28" customWidth="1"/>
    <col min="13579" max="13579" width="13.85546875" style="28" customWidth="1"/>
    <col min="13580" max="13824" width="10.7109375" style="28"/>
    <col min="13825" max="13825" width="15.5703125" style="28" bestFit="1" customWidth="1"/>
    <col min="13826" max="13826" width="8.5703125" style="28" customWidth="1"/>
    <col min="13827" max="13827" width="12.42578125" style="28" customWidth="1"/>
    <col min="13828" max="13828" width="13.7109375" style="28" customWidth="1"/>
    <col min="13829" max="13829" width="12.85546875" style="28" customWidth="1"/>
    <col min="13830" max="13830" width="12.140625" style="28" bestFit="1" customWidth="1"/>
    <col min="13831" max="13831" width="12.85546875" style="28" bestFit="1" customWidth="1"/>
    <col min="13832" max="13832" width="11.140625" style="28" customWidth="1"/>
    <col min="13833" max="13833" width="12.42578125" style="28" customWidth="1"/>
    <col min="13834" max="13834" width="12.85546875" style="28" customWidth="1"/>
    <col min="13835" max="13835" width="13.85546875" style="28" customWidth="1"/>
    <col min="13836" max="14080" width="10.7109375" style="28"/>
    <col min="14081" max="14081" width="15.5703125" style="28" bestFit="1" customWidth="1"/>
    <col min="14082" max="14082" width="8.5703125" style="28" customWidth="1"/>
    <col min="14083" max="14083" width="12.42578125" style="28" customWidth="1"/>
    <col min="14084" max="14084" width="13.7109375" style="28" customWidth="1"/>
    <col min="14085" max="14085" width="12.85546875" style="28" customWidth="1"/>
    <col min="14086" max="14086" width="12.140625" style="28" bestFit="1" customWidth="1"/>
    <col min="14087" max="14087" width="12.85546875" style="28" bestFit="1" customWidth="1"/>
    <col min="14088" max="14088" width="11.140625" style="28" customWidth="1"/>
    <col min="14089" max="14089" width="12.42578125" style="28" customWidth="1"/>
    <col min="14090" max="14090" width="12.85546875" style="28" customWidth="1"/>
    <col min="14091" max="14091" width="13.85546875" style="28" customWidth="1"/>
    <col min="14092" max="14336" width="10.7109375" style="28"/>
    <col min="14337" max="14337" width="15.5703125" style="28" bestFit="1" customWidth="1"/>
    <col min="14338" max="14338" width="8.5703125" style="28" customWidth="1"/>
    <col min="14339" max="14339" width="12.42578125" style="28" customWidth="1"/>
    <col min="14340" max="14340" width="13.7109375" style="28" customWidth="1"/>
    <col min="14341" max="14341" width="12.85546875" style="28" customWidth="1"/>
    <col min="14342" max="14342" width="12.140625" style="28" bestFit="1" customWidth="1"/>
    <col min="14343" max="14343" width="12.85546875" style="28" bestFit="1" customWidth="1"/>
    <col min="14344" max="14344" width="11.140625" style="28" customWidth="1"/>
    <col min="14345" max="14345" width="12.42578125" style="28" customWidth="1"/>
    <col min="14346" max="14346" width="12.85546875" style="28" customWidth="1"/>
    <col min="14347" max="14347" width="13.85546875" style="28" customWidth="1"/>
    <col min="14348" max="14592" width="10.7109375" style="28"/>
    <col min="14593" max="14593" width="15.5703125" style="28" bestFit="1" customWidth="1"/>
    <col min="14594" max="14594" width="8.5703125" style="28" customWidth="1"/>
    <col min="14595" max="14595" width="12.42578125" style="28" customWidth="1"/>
    <col min="14596" max="14596" width="13.7109375" style="28" customWidth="1"/>
    <col min="14597" max="14597" width="12.85546875" style="28" customWidth="1"/>
    <col min="14598" max="14598" width="12.140625" style="28" bestFit="1" customWidth="1"/>
    <col min="14599" max="14599" width="12.85546875" style="28" bestFit="1" customWidth="1"/>
    <col min="14600" max="14600" width="11.140625" style="28" customWidth="1"/>
    <col min="14601" max="14601" width="12.42578125" style="28" customWidth="1"/>
    <col min="14602" max="14602" width="12.85546875" style="28" customWidth="1"/>
    <col min="14603" max="14603" width="13.85546875" style="28" customWidth="1"/>
    <col min="14604" max="14848" width="10.7109375" style="28"/>
    <col min="14849" max="14849" width="15.5703125" style="28" bestFit="1" customWidth="1"/>
    <col min="14850" max="14850" width="8.5703125" style="28" customWidth="1"/>
    <col min="14851" max="14851" width="12.42578125" style="28" customWidth="1"/>
    <col min="14852" max="14852" width="13.7109375" style="28" customWidth="1"/>
    <col min="14853" max="14853" width="12.85546875" style="28" customWidth="1"/>
    <col min="14854" max="14854" width="12.140625" style="28" bestFit="1" customWidth="1"/>
    <col min="14855" max="14855" width="12.85546875" style="28" bestFit="1" customWidth="1"/>
    <col min="14856" max="14856" width="11.140625" style="28" customWidth="1"/>
    <col min="14857" max="14857" width="12.42578125" style="28" customWidth="1"/>
    <col min="14858" max="14858" width="12.85546875" style="28" customWidth="1"/>
    <col min="14859" max="14859" width="13.85546875" style="28" customWidth="1"/>
    <col min="14860" max="15104" width="10.7109375" style="28"/>
    <col min="15105" max="15105" width="15.5703125" style="28" bestFit="1" customWidth="1"/>
    <col min="15106" max="15106" width="8.5703125" style="28" customWidth="1"/>
    <col min="15107" max="15107" width="12.42578125" style="28" customWidth="1"/>
    <col min="15108" max="15108" width="13.7109375" style="28" customWidth="1"/>
    <col min="15109" max="15109" width="12.85546875" style="28" customWidth="1"/>
    <col min="15110" max="15110" width="12.140625" style="28" bestFit="1" customWidth="1"/>
    <col min="15111" max="15111" width="12.85546875" style="28" bestFit="1" customWidth="1"/>
    <col min="15112" max="15112" width="11.140625" style="28" customWidth="1"/>
    <col min="15113" max="15113" width="12.42578125" style="28" customWidth="1"/>
    <col min="15114" max="15114" width="12.85546875" style="28" customWidth="1"/>
    <col min="15115" max="15115" width="13.85546875" style="28" customWidth="1"/>
    <col min="15116" max="15360" width="10.7109375" style="28"/>
    <col min="15361" max="15361" width="15.5703125" style="28" bestFit="1" customWidth="1"/>
    <col min="15362" max="15362" width="8.5703125" style="28" customWidth="1"/>
    <col min="15363" max="15363" width="12.42578125" style="28" customWidth="1"/>
    <col min="15364" max="15364" width="13.7109375" style="28" customWidth="1"/>
    <col min="15365" max="15365" width="12.85546875" style="28" customWidth="1"/>
    <col min="15366" max="15366" width="12.140625" style="28" bestFit="1" customWidth="1"/>
    <col min="15367" max="15367" width="12.85546875" style="28" bestFit="1" customWidth="1"/>
    <col min="15368" max="15368" width="11.140625" style="28" customWidth="1"/>
    <col min="15369" max="15369" width="12.42578125" style="28" customWidth="1"/>
    <col min="15370" max="15370" width="12.85546875" style="28" customWidth="1"/>
    <col min="15371" max="15371" width="13.85546875" style="28" customWidth="1"/>
    <col min="15372" max="15616" width="10.7109375" style="28"/>
    <col min="15617" max="15617" width="15.5703125" style="28" bestFit="1" customWidth="1"/>
    <col min="15618" max="15618" width="8.5703125" style="28" customWidth="1"/>
    <col min="15619" max="15619" width="12.42578125" style="28" customWidth="1"/>
    <col min="15620" max="15620" width="13.7109375" style="28" customWidth="1"/>
    <col min="15621" max="15621" width="12.85546875" style="28" customWidth="1"/>
    <col min="15622" max="15622" width="12.140625" style="28" bestFit="1" customWidth="1"/>
    <col min="15623" max="15623" width="12.85546875" style="28" bestFit="1" customWidth="1"/>
    <col min="15624" max="15624" width="11.140625" style="28" customWidth="1"/>
    <col min="15625" max="15625" width="12.42578125" style="28" customWidth="1"/>
    <col min="15626" max="15626" width="12.85546875" style="28" customWidth="1"/>
    <col min="15627" max="15627" width="13.85546875" style="28" customWidth="1"/>
    <col min="15628" max="15872" width="10.7109375" style="28"/>
    <col min="15873" max="15873" width="15.5703125" style="28" bestFit="1" customWidth="1"/>
    <col min="15874" max="15874" width="8.5703125" style="28" customWidth="1"/>
    <col min="15875" max="15875" width="12.42578125" style="28" customWidth="1"/>
    <col min="15876" max="15876" width="13.7109375" style="28" customWidth="1"/>
    <col min="15877" max="15877" width="12.85546875" style="28" customWidth="1"/>
    <col min="15878" max="15878" width="12.140625" style="28" bestFit="1" customWidth="1"/>
    <col min="15879" max="15879" width="12.85546875" style="28" bestFit="1" customWidth="1"/>
    <col min="15880" max="15880" width="11.140625" style="28" customWidth="1"/>
    <col min="15881" max="15881" width="12.42578125" style="28" customWidth="1"/>
    <col min="15882" max="15882" width="12.85546875" style="28" customWidth="1"/>
    <col min="15883" max="15883" width="13.85546875" style="28" customWidth="1"/>
    <col min="15884" max="16128" width="10.7109375" style="28"/>
    <col min="16129" max="16129" width="15.5703125" style="28" bestFit="1" customWidth="1"/>
    <col min="16130" max="16130" width="8.5703125" style="28" customWidth="1"/>
    <col min="16131" max="16131" width="12.42578125" style="28" customWidth="1"/>
    <col min="16132" max="16132" width="13.7109375" style="28" customWidth="1"/>
    <col min="16133" max="16133" width="12.85546875" style="28" customWidth="1"/>
    <col min="16134" max="16134" width="12.140625" style="28" bestFit="1" customWidth="1"/>
    <col min="16135" max="16135" width="12.85546875" style="28" bestFit="1" customWidth="1"/>
    <col min="16136" max="16136" width="11.140625" style="28" customWidth="1"/>
    <col min="16137" max="16137" width="12.42578125" style="28" customWidth="1"/>
    <col min="16138" max="16138" width="12.85546875" style="28" customWidth="1"/>
    <col min="16139" max="16139" width="13.85546875" style="28" customWidth="1"/>
    <col min="16140" max="16384" width="10.7109375" style="28"/>
  </cols>
  <sheetData>
    <row r="1" spans="1:16">
      <c r="A1" s="64" t="s">
        <v>30</v>
      </c>
      <c r="B1" s="319">
        <v>42735</v>
      </c>
      <c r="C1" s="320"/>
      <c r="D1" s="320"/>
      <c r="E1" s="320"/>
      <c r="F1" s="320"/>
      <c r="G1" s="321"/>
    </row>
    <row r="2" spans="1:16">
      <c r="A2" s="65" t="s">
        <v>31</v>
      </c>
      <c r="B2" s="322" t="s">
        <v>32</v>
      </c>
      <c r="C2" s="323"/>
      <c r="D2" s="323"/>
      <c r="E2" s="323"/>
      <c r="F2" s="323"/>
      <c r="G2" s="324"/>
    </row>
    <row r="3" spans="1:16">
      <c r="A3" s="65" t="s">
        <v>33</v>
      </c>
      <c r="B3" s="325" t="s">
        <v>34</v>
      </c>
      <c r="C3" s="326"/>
      <c r="D3" s="326"/>
      <c r="E3" s="327"/>
      <c r="F3" s="325" t="s">
        <v>35</v>
      </c>
      <c r="G3" s="328"/>
      <c r="H3" s="66"/>
      <c r="I3" s="66"/>
      <c r="J3" s="66"/>
    </row>
    <row r="4" spans="1:16">
      <c r="A4" s="65" t="s">
        <v>36</v>
      </c>
      <c r="B4" s="329" t="s">
        <v>37</v>
      </c>
      <c r="C4" s="330"/>
      <c r="D4" s="330"/>
      <c r="E4" s="330"/>
      <c r="F4" s="330"/>
      <c r="G4" s="331"/>
    </row>
    <row r="5" spans="1:16">
      <c r="A5" s="65" t="s">
        <v>38</v>
      </c>
      <c r="B5" s="332" t="s">
        <v>39</v>
      </c>
      <c r="C5" s="333"/>
      <c r="D5" s="333"/>
      <c r="E5" s="333"/>
      <c r="F5" s="333"/>
      <c r="G5" s="334"/>
    </row>
    <row r="6" spans="1:16">
      <c r="A6" s="65" t="s">
        <v>40</v>
      </c>
      <c r="B6" s="322" t="s">
        <v>41</v>
      </c>
      <c r="C6" s="323"/>
      <c r="D6" s="323"/>
      <c r="E6" s="323"/>
      <c r="F6" s="323"/>
      <c r="G6" s="324"/>
    </row>
    <row r="7" spans="1:16" ht="16.5" thickBot="1">
      <c r="A7" s="67" t="s">
        <v>42</v>
      </c>
      <c r="B7" s="335" t="s">
        <v>43</v>
      </c>
      <c r="C7" s="336"/>
      <c r="D7" s="336"/>
      <c r="E7" s="336"/>
      <c r="F7" s="336"/>
      <c r="G7" s="337"/>
    </row>
    <row r="8" spans="1:16" s="69" customFormat="1" ht="18.75">
      <c r="A8" s="68" t="s">
        <v>44</v>
      </c>
      <c r="B8" s="68"/>
      <c r="C8" s="68"/>
      <c r="D8" s="68"/>
      <c r="E8" s="68"/>
      <c r="F8" s="68"/>
      <c r="G8" s="68"/>
      <c r="P8" s="70"/>
    </row>
    <row r="9" spans="1:16">
      <c r="A9" s="28" t="s">
        <v>45</v>
      </c>
      <c r="C9" s="71" t="s">
        <v>46</v>
      </c>
      <c r="F9" s="72" t="s">
        <v>47</v>
      </c>
      <c r="G9" s="73"/>
      <c r="H9" s="73"/>
      <c r="I9" s="73"/>
      <c r="J9" s="73"/>
      <c r="K9" s="74"/>
    </row>
    <row r="10" spans="1:16">
      <c r="A10" s="28" t="s">
        <v>48</v>
      </c>
      <c r="C10" s="71">
        <v>1928</v>
      </c>
      <c r="F10" s="75" t="s">
        <v>49</v>
      </c>
      <c r="G10" s="76"/>
      <c r="H10" s="76"/>
      <c r="I10" s="76"/>
      <c r="J10" s="76"/>
      <c r="K10" s="77"/>
    </row>
    <row r="11" spans="1:16">
      <c r="E11" s="29"/>
    </row>
    <row r="12" spans="1:16">
      <c r="A12" s="28" t="s">
        <v>50</v>
      </c>
      <c r="E12" s="78">
        <v>100</v>
      </c>
    </row>
    <row r="13" spans="1:16">
      <c r="A13" s="28" t="s">
        <v>51</v>
      </c>
      <c r="E13" s="78">
        <v>100</v>
      </c>
    </row>
    <row r="14" spans="1:16">
      <c r="A14" s="28" t="s">
        <v>52</v>
      </c>
      <c r="E14" s="78">
        <v>100</v>
      </c>
    </row>
    <row r="15" spans="1:16" ht="16.5" thickBot="1">
      <c r="A15" s="28" t="s">
        <v>53</v>
      </c>
      <c r="E15" s="79">
        <v>4.8441734554471871E-2</v>
      </c>
    </row>
    <row r="16" spans="1:16" ht="16.5" thickBot="1"/>
    <row r="17" spans="1:20" ht="16.5" thickBot="1">
      <c r="B17" s="315" t="s">
        <v>54</v>
      </c>
      <c r="C17" s="316"/>
      <c r="D17" s="316"/>
      <c r="E17" s="316"/>
      <c r="F17" s="315" t="s">
        <v>55</v>
      </c>
      <c r="G17" s="316"/>
      <c r="H17" s="316"/>
      <c r="I17" s="317"/>
      <c r="J17" s="315" t="s">
        <v>56</v>
      </c>
      <c r="K17" s="316"/>
      <c r="L17" s="316"/>
      <c r="M17" s="317"/>
      <c r="N17" s="80"/>
      <c r="O17" s="315" t="s">
        <v>57</v>
      </c>
      <c r="P17" s="316"/>
      <c r="Q17" s="316"/>
      <c r="R17" s="317"/>
      <c r="S17" s="81"/>
      <c r="T17" s="81"/>
    </row>
    <row r="18" spans="1:20" s="85" customFormat="1" ht="94.5">
      <c r="A18" s="82" t="s">
        <v>2</v>
      </c>
      <c r="B18" s="82" t="s">
        <v>58</v>
      </c>
      <c r="C18" s="82" t="s">
        <v>59</v>
      </c>
      <c r="D18" s="82" t="s">
        <v>60</v>
      </c>
      <c r="E18" s="82" t="s">
        <v>61</v>
      </c>
      <c r="F18" s="82" t="s">
        <v>62</v>
      </c>
      <c r="G18" s="82" t="s">
        <v>63</v>
      </c>
      <c r="H18" s="82" t="s">
        <v>64</v>
      </c>
      <c r="I18" s="82" t="s">
        <v>65</v>
      </c>
      <c r="J18" s="83" t="s">
        <v>66</v>
      </c>
      <c r="K18" s="83" t="s">
        <v>67</v>
      </c>
      <c r="L18" s="84" t="s">
        <v>68</v>
      </c>
      <c r="M18" s="84" t="s">
        <v>69</v>
      </c>
      <c r="N18" s="83" t="s">
        <v>70</v>
      </c>
      <c r="O18" s="83" t="s">
        <v>71</v>
      </c>
      <c r="P18" s="83" t="s">
        <v>72</v>
      </c>
      <c r="Q18" s="83" t="s">
        <v>73</v>
      </c>
      <c r="R18" s="83" t="s">
        <v>74</v>
      </c>
    </row>
    <row r="19" spans="1:20">
      <c r="A19" s="86">
        <v>1928</v>
      </c>
      <c r="B19" s="87">
        <v>0.43811155152887893</v>
      </c>
      <c r="C19" s="87">
        <v>3.0800000000000001E-2</v>
      </c>
      <c r="D19" s="87">
        <v>8.354708589799302E-3</v>
      </c>
      <c r="E19" s="87">
        <v>3.2195514702324381E-2</v>
      </c>
      <c r="F19" s="88">
        <v>143.81115515288789</v>
      </c>
      <c r="G19" s="88">
        <v>103.08</v>
      </c>
      <c r="H19" s="88">
        <v>100.83547085897993</v>
      </c>
      <c r="I19" s="88">
        <v>103.21955147023243</v>
      </c>
      <c r="J19" s="87">
        <v>0.40731155152887893</v>
      </c>
      <c r="K19" s="87">
        <v>0.42975684293907962</v>
      </c>
      <c r="L19" s="89">
        <v>0.40591603682655453</v>
      </c>
      <c r="M19" s="90"/>
      <c r="N19" s="52">
        <v>-1.15218E-2</v>
      </c>
      <c r="O19" s="91">
        <v>0.45487432249783444</v>
      </c>
      <c r="P19" s="91">
        <v>4.2815107100996119E-2</v>
      </c>
      <c r="Q19" s="91">
        <v>2.0108191146551713E-2</v>
      </c>
      <c r="R19" s="91">
        <v>4.4226888061187797E-2</v>
      </c>
    </row>
    <row r="20" spans="1:20">
      <c r="A20" s="86">
        <v>1929</v>
      </c>
      <c r="B20" s="87">
        <v>-8.2979466119096595E-2</v>
      </c>
      <c r="C20" s="87">
        <v>3.1600000000000003E-2</v>
      </c>
      <c r="D20" s="87">
        <v>4.2038041563204259E-2</v>
      </c>
      <c r="E20" s="87">
        <v>3.0178562399040432E-2</v>
      </c>
      <c r="F20" s="88">
        <v>131.87778227633069</v>
      </c>
      <c r="G20" s="88">
        <v>106.337328</v>
      </c>
      <c r="H20" s="88">
        <v>105.074396573995</v>
      </c>
      <c r="I20" s="88">
        <v>106.33456914507781</v>
      </c>
      <c r="J20" s="87">
        <v>-0.1145794661190966</v>
      </c>
      <c r="K20" s="87">
        <v>-0.12501750768230085</v>
      </c>
      <c r="L20" s="89">
        <v>-0.11315802851813703</v>
      </c>
      <c r="M20" s="90"/>
      <c r="N20" s="52">
        <v>0</v>
      </c>
      <c r="O20" s="92">
        <v>-8.2979466119096568E-2</v>
      </c>
      <c r="P20" s="92">
        <v>3.1600000000000072E-2</v>
      </c>
      <c r="Q20" s="92">
        <v>4.2038041563204231E-2</v>
      </c>
      <c r="R20" s="92">
        <v>3.0178562399040487E-2</v>
      </c>
    </row>
    <row r="21" spans="1:20">
      <c r="A21" s="86">
        <v>1930</v>
      </c>
      <c r="B21" s="87">
        <v>-0.25123636363636365</v>
      </c>
      <c r="C21" s="87">
        <v>4.5499999999999999E-2</v>
      </c>
      <c r="D21" s="87">
        <v>4.5409314348970366E-2</v>
      </c>
      <c r="E21" s="87">
        <v>5.3978094648238287E-3</v>
      </c>
      <c r="F21" s="88">
        <v>98.745287812797272</v>
      </c>
      <c r="G21" s="88">
        <v>111.17567642400002</v>
      </c>
      <c r="H21" s="88">
        <v>109.84575287805193</v>
      </c>
      <c r="I21" s="88">
        <v>106.90854288884708</v>
      </c>
      <c r="J21" s="87">
        <v>-0.29673636363636363</v>
      </c>
      <c r="K21" s="87">
        <v>-0.29664567798533403</v>
      </c>
      <c r="L21" s="89">
        <v>-0.25663417310118747</v>
      </c>
      <c r="M21" s="90"/>
      <c r="N21" s="52">
        <v>-2.6712E-2</v>
      </c>
      <c r="O21" s="92">
        <v>-0.23068646036565099</v>
      </c>
      <c r="P21" s="92">
        <v>7.4193866563648125E-2</v>
      </c>
      <c r="Q21" s="92">
        <v>7.410069203459857E-2</v>
      </c>
      <c r="R21" s="92">
        <v>3.2991066842315897E-2</v>
      </c>
    </row>
    <row r="22" spans="1:20">
      <c r="A22" s="86">
        <v>1931</v>
      </c>
      <c r="B22" s="87">
        <v>-0.43837548891786188</v>
      </c>
      <c r="C22" s="87">
        <v>2.3099999999999999E-2</v>
      </c>
      <c r="D22" s="87">
        <v>-2.5588559619422531E-2</v>
      </c>
      <c r="E22" s="87">
        <v>-0.15680775082667592</v>
      </c>
      <c r="F22" s="88">
        <v>55.457773989527276</v>
      </c>
      <c r="G22" s="88">
        <v>113.74383454939441</v>
      </c>
      <c r="H22" s="88">
        <v>107.03495828159154</v>
      </c>
      <c r="I22" s="88">
        <v>90.144454734289752</v>
      </c>
      <c r="J22" s="87">
        <v>-0.46147548891786189</v>
      </c>
      <c r="K22" s="87">
        <v>-0.41278692929843935</v>
      </c>
      <c r="L22" s="89">
        <v>-0.28156773809118596</v>
      </c>
      <c r="M22" s="90"/>
      <c r="N22" s="52">
        <v>-8.9321400000000009E-2</v>
      </c>
      <c r="O22" s="92">
        <v>-0.38329009698686445</v>
      </c>
      <c r="P22" s="92">
        <v>0.12344794310528417</v>
      </c>
      <c r="Q22" s="92">
        <v>6.9983900336054283E-2</v>
      </c>
      <c r="R22" s="92">
        <v>-7.4105563506901229E-2</v>
      </c>
    </row>
    <row r="23" spans="1:20">
      <c r="A23" s="86">
        <v>1932</v>
      </c>
      <c r="B23" s="87">
        <v>-8.642364532019696E-2</v>
      </c>
      <c r="C23" s="87">
        <v>1.0699999999999999E-2</v>
      </c>
      <c r="D23" s="87">
        <v>8.7903069904773257E-2</v>
      </c>
      <c r="E23" s="87">
        <v>0.23589601675740196</v>
      </c>
      <c r="F23" s="88">
        <v>50.664911000008722</v>
      </c>
      <c r="G23" s="88">
        <v>114.96089357907292</v>
      </c>
      <c r="H23" s="88">
        <v>116.44365970167279</v>
      </c>
      <c r="I23" s="88">
        <v>111.40917253887663</v>
      </c>
      <c r="J23" s="87">
        <v>-9.7123645320196961E-2</v>
      </c>
      <c r="K23" s="87">
        <v>-0.17432671522497023</v>
      </c>
      <c r="L23" s="89">
        <v>-0.32231966207759893</v>
      </c>
      <c r="M23" s="90"/>
      <c r="N23" s="52">
        <v>-0.1030137</v>
      </c>
      <c r="O23" s="92">
        <v>1.8495326717702376E-2</v>
      </c>
      <c r="P23" s="92">
        <v>0.12677306219727091</v>
      </c>
      <c r="Q23" s="92">
        <v>0.21284245913764055</v>
      </c>
      <c r="R23" s="92">
        <v>0.37783154186123236</v>
      </c>
    </row>
    <row r="24" spans="1:20">
      <c r="A24" s="86">
        <v>1933</v>
      </c>
      <c r="B24" s="87">
        <v>0.49982225433526023</v>
      </c>
      <c r="C24" s="87">
        <v>9.5999999999999992E-3</v>
      </c>
      <c r="D24" s="87">
        <v>1.8552720891857361E-2</v>
      </c>
      <c r="E24" s="87">
        <v>0.1296689369754826</v>
      </c>
      <c r="F24" s="88">
        <v>75.988361031728402</v>
      </c>
      <c r="G24" s="88">
        <v>116.06451815743202</v>
      </c>
      <c r="H24" s="88">
        <v>118.60400641974435</v>
      </c>
      <c r="I24" s="88">
        <v>125.8554815113109</v>
      </c>
      <c r="J24" s="87">
        <v>0.49022225433526023</v>
      </c>
      <c r="K24" s="87">
        <v>0.48126953344340284</v>
      </c>
      <c r="L24" s="89">
        <v>0.37015331735977763</v>
      </c>
      <c r="M24" s="90"/>
      <c r="N24" s="52">
        <v>-5.19243E-2</v>
      </c>
      <c r="O24" s="92">
        <v>0.58196466203622799</v>
      </c>
      <c r="P24" s="92">
        <v>6.4893868706897617E-2</v>
      </c>
      <c r="Q24" s="92">
        <v>7.4336913067023502E-2</v>
      </c>
      <c r="R24" s="92">
        <v>0.19153875262859565</v>
      </c>
    </row>
    <row r="25" spans="1:20">
      <c r="A25" s="86">
        <v>1934</v>
      </c>
      <c r="B25" s="87">
        <v>-1.1885656970912803E-2</v>
      </c>
      <c r="C25" s="87">
        <v>2.7833333333333334E-3</v>
      </c>
      <c r="D25" s="87">
        <v>7.9634426179656104E-2</v>
      </c>
      <c r="E25" s="87">
        <v>0.18816429268482648</v>
      </c>
      <c r="F25" s="88">
        <v>75.085189438723404</v>
      </c>
      <c r="G25" s="88">
        <v>116.38756439963687</v>
      </c>
      <c r="H25" s="88">
        <v>128.04896841358894</v>
      </c>
      <c r="I25" s="88">
        <v>149.53698917039497</v>
      </c>
      <c r="J25" s="87">
        <v>-1.4668990304246137E-2</v>
      </c>
      <c r="K25" s="87">
        <v>-9.1520083150568907E-2</v>
      </c>
      <c r="L25" s="89">
        <v>-0.2000499496557393</v>
      </c>
      <c r="M25" s="90"/>
      <c r="N25" s="52">
        <v>3.47938E-2</v>
      </c>
      <c r="O25" s="92">
        <v>-4.5109911724357965E-2</v>
      </c>
      <c r="P25" s="92">
        <v>-3.0934150037105645E-2</v>
      </c>
      <c r="Q25" s="92">
        <v>4.3332909589964608E-2</v>
      </c>
      <c r="R25" s="92">
        <v>0.14821357905780497</v>
      </c>
    </row>
    <row r="26" spans="1:20">
      <c r="A26" s="86">
        <v>1935</v>
      </c>
      <c r="B26" s="87">
        <v>0.46740421052631581</v>
      </c>
      <c r="C26" s="87">
        <v>1.6750000000000001E-3</v>
      </c>
      <c r="D26" s="87">
        <v>4.4720477296566127E-2</v>
      </c>
      <c r="E26" s="87">
        <v>0.1330773186567917</v>
      </c>
      <c r="F26" s="88">
        <v>110.18032313054879</v>
      </c>
      <c r="G26" s="88">
        <v>116.58251357000627</v>
      </c>
      <c r="H26" s="88">
        <v>133.77537939837757</v>
      </c>
      <c r="I26" s="88">
        <v>169.43697072920085</v>
      </c>
      <c r="J26" s="87">
        <v>0.46572921052631583</v>
      </c>
      <c r="K26" s="87">
        <v>0.42268373322974967</v>
      </c>
      <c r="L26" s="89">
        <v>0.33432689186952413</v>
      </c>
      <c r="M26" s="90"/>
      <c r="N26" s="52">
        <v>2.5529299999999998E-2</v>
      </c>
      <c r="O26" s="92">
        <v>0.43087497405126873</v>
      </c>
      <c r="P26" s="92">
        <v>-2.326047632183692E-2</v>
      </c>
      <c r="Q26" s="92">
        <v>1.8713436365558778E-2</v>
      </c>
      <c r="R26" s="92">
        <v>0.10487074202247726</v>
      </c>
    </row>
    <row r="27" spans="1:20">
      <c r="A27" s="86">
        <v>1936</v>
      </c>
      <c r="B27" s="87">
        <v>0.31943410275502609</v>
      </c>
      <c r="C27" s="87">
        <v>1.725E-3</v>
      </c>
      <c r="D27" s="87">
        <v>5.0178754045450601E-2</v>
      </c>
      <c r="E27" s="87">
        <v>0.11383815871922703</v>
      </c>
      <c r="F27" s="88">
        <v>145.37567579101449</v>
      </c>
      <c r="G27" s="88">
        <v>116.78361840591452</v>
      </c>
      <c r="H27" s="88">
        <v>140.4880612585456</v>
      </c>
      <c r="I27" s="88">
        <v>188.72536349597664</v>
      </c>
      <c r="J27" s="87">
        <v>0.31770910275502612</v>
      </c>
      <c r="K27" s="87">
        <v>0.26925534870957551</v>
      </c>
      <c r="L27" s="89">
        <v>0.20559594403579906</v>
      </c>
      <c r="M27" s="90"/>
      <c r="N27" s="52">
        <v>1.0321800000000001E-2</v>
      </c>
      <c r="O27" s="92">
        <v>0.30595430362388099</v>
      </c>
      <c r="P27" s="92">
        <v>-8.5089720918622991E-3</v>
      </c>
      <c r="Q27" s="92">
        <v>3.9449761497228453E-2</v>
      </c>
      <c r="R27" s="92">
        <v>0.10245879948272618</v>
      </c>
    </row>
    <row r="28" spans="1:20">
      <c r="A28" s="86">
        <v>1937</v>
      </c>
      <c r="B28" s="87">
        <v>-0.35336728754365537</v>
      </c>
      <c r="C28" s="87">
        <v>2.7583333333333331E-3</v>
      </c>
      <c r="D28" s="87">
        <v>1.379146059646038E-2</v>
      </c>
      <c r="E28" s="87">
        <v>-4.4161916839982614E-2</v>
      </c>
      <c r="F28" s="88">
        <v>94.004667561917856</v>
      </c>
      <c r="G28" s="88">
        <v>117.10574655335085</v>
      </c>
      <c r="H28" s="88">
        <v>142.42559681966594</v>
      </c>
      <c r="I28" s="88">
        <v>180.39088968767183</v>
      </c>
      <c r="J28" s="87">
        <v>-0.35612562087698868</v>
      </c>
      <c r="K28" s="87">
        <v>-0.36715874814011573</v>
      </c>
      <c r="L28" s="89">
        <v>-0.30920537070367277</v>
      </c>
      <c r="M28" s="90"/>
      <c r="N28" s="52">
        <v>3.7259600000000004E-2</v>
      </c>
      <c r="O28" s="92">
        <v>-0.37659510458486511</v>
      </c>
      <c r="P28" s="92">
        <v>-3.326194008391592E-2</v>
      </c>
      <c r="Q28" s="92">
        <v>-2.2625135890320669E-2</v>
      </c>
      <c r="R28" s="92">
        <v>-7.8496758998405691E-2</v>
      </c>
    </row>
    <row r="29" spans="1:20">
      <c r="A29" s="86">
        <v>1938</v>
      </c>
      <c r="B29" s="87">
        <v>0.29282654028436017</v>
      </c>
      <c r="C29" s="87">
        <v>6.4999999999999997E-4</v>
      </c>
      <c r="D29" s="87">
        <v>4.2132485322046068E-2</v>
      </c>
      <c r="E29" s="87">
        <v>9.2358817136874202E-2</v>
      </c>
      <c r="F29" s="88">
        <v>121.53172913465568</v>
      </c>
      <c r="G29" s="88">
        <v>117.18186528861054</v>
      </c>
      <c r="H29" s="88">
        <v>148.42634118715418</v>
      </c>
      <c r="I29" s="88">
        <v>197.05157888149355</v>
      </c>
      <c r="J29" s="87">
        <v>0.29217654028436019</v>
      </c>
      <c r="K29" s="87">
        <v>0.25069405496231412</v>
      </c>
      <c r="L29" s="89">
        <v>0.20046772314748595</v>
      </c>
      <c r="M29" s="90"/>
      <c r="N29" s="52">
        <v>-2.02781E-2</v>
      </c>
      <c r="O29" s="92">
        <v>0.3195852213616539</v>
      </c>
      <c r="P29" s="92">
        <v>2.1361265885758041E-2</v>
      </c>
      <c r="Q29" s="92">
        <v>6.3702347903059175E-2</v>
      </c>
      <c r="R29" s="92">
        <v>0.11496825490669749</v>
      </c>
    </row>
    <row r="30" spans="1:20">
      <c r="A30" s="86">
        <v>1939</v>
      </c>
      <c r="B30" s="87">
        <v>-1.0975646879756443E-2</v>
      </c>
      <c r="C30" s="87">
        <v>4.5833333333333332E-4</v>
      </c>
      <c r="D30" s="87">
        <v>4.4122613942060671E-2</v>
      </c>
      <c r="E30" s="87">
        <v>7.9831377653461405E-2</v>
      </c>
      <c r="F30" s="88">
        <v>120.19783979098749</v>
      </c>
      <c r="G30" s="88">
        <v>117.23557364353447</v>
      </c>
      <c r="H30" s="88">
        <v>154.97529933818757</v>
      </c>
      <c r="I30" s="88">
        <v>212.7824778923929</v>
      </c>
      <c r="J30" s="87">
        <v>-1.1433980213089777E-2</v>
      </c>
      <c r="K30" s="87">
        <v>-5.509826082181711E-2</v>
      </c>
      <c r="L30" s="89">
        <v>-9.0807024533217845E-2</v>
      </c>
      <c r="M30" s="90"/>
      <c r="N30" s="52">
        <v>-1.30101E-2</v>
      </c>
      <c r="O30" s="92">
        <v>2.0612704549900496E-3</v>
      </c>
      <c r="P30" s="92">
        <v>1.3645968751385684E-2</v>
      </c>
      <c r="Q30" s="92">
        <v>5.7885814173033401E-2</v>
      </c>
      <c r="R30" s="92">
        <v>9.4065276304713397E-2</v>
      </c>
    </row>
    <row r="31" spans="1:20">
      <c r="A31" s="86">
        <v>1940</v>
      </c>
      <c r="B31" s="87">
        <v>-0.10672873194221515</v>
      </c>
      <c r="C31" s="87">
        <v>3.5833333333333333E-4</v>
      </c>
      <c r="D31" s="87">
        <v>5.4024815962845509E-2</v>
      </c>
      <c r="E31" s="87">
        <v>8.6481371775829569E-2</v>
      </c>
      <c r="F31" s="88">
        <v>107.36927676790187</v>
      </c>
      <c r="G31" s="88">
        <v>117.27758305742339</v>
      </c>
      <c r="H31" s="88">
        <v>163.34781136372007</v>
      </c>
      <c r="I31" s="88">
        <v>231.18419847038714</v>
      </c>
      <c r="J31" s="87">
        <v>-0.10708706527554848</v>
      </c>
      <c r="K31" s="87">
        <v>-0.16075354790506066</v>
      </c>
      <c r="L31" s="89">
        <v>-0.1932101037180447</v>
      </c>
      <c r="M31" s="90"/>
      <c r="N31" s="52">
        <v>7.1898999999999999E-3</v>
      </c>
      <c r="O31" s="92">
        <v>-0.11310541531662999</v>
      </c>
      <c r="P31" s="92">
        <v>-6.7827990199929022E-3</v>
      </c>
      <c r="Q31" s="92">
        <v>4.6500581432404875E-2</v>
      </c>
      <c r="R31" s="92">
        <v>7.872544370811263E-2</v>
      </c>
    </row>
    <row r="32" spans="1:20">
      <c r="A32" s="86">
        <v>1941</v>
      </c>
      <c r="B32" s="87">
        <v>-0.12771455576559551</v>
      </c>
      <c r="C32" s="87">
        <v>1.2916666666666669E-3</v>
      </c>
      <c r="D32" s="87">
        <v>-2.0221975848580105E-2</v>
      </c>
      <c r="E32" s="87">
        <v>5.0071728572759232E-2</v>
      </c>
      <c r="F32" s="88">
        <v>93.656657282615996</v>
      </c>
      <c r="G32" s="88">
        <v>117.42906660220589</v>
      </c>
      <c r="H32" s="88">
        <v>160.0445958674045</v>
      </c>
      <c r="I32" s="88">
        <v>242.75999090650726</v>
      </c>
      <c r="J32" s="87">
        <v>-0.12900622243226217</v>
      </c>
      <c r="K32" s="87">
        <v>-0.10749257991701541</v>
      </c>
      <c r="L32" s="89">
        <v>-0.17778628433835475</v>
      </c>
      <c r="M32" s="90"/>
      <c r="N32" s="52">
        <v>5.1159999999999997E-2</v>
      </c>
      <c r="O32" s="92">
        <v>-0.17016872385326265</v>
      </c>
      <c r="P32" s="92">
        <v>-4.7441239519515066E-2</v>
      </c>
      <c r="Q32" s="92">
        <v>-6.7907812177575466E-2</v>
      </c>
      <c r="R32" s="92">
        <v>-1.0353052125660067E-3</v>
      </c>
    </row>
    <row r="33" spans="1:18">
      <c r="A33" s="86">
        <v>1942</v>
      </c>
      <c r="B33" s="87">
        <v>0.19173762945914843</v>
      </c>
      <c r="C33" s="87">
        <v>3.4250000000000001E-3</v>
      </c>
      <c r="D33" s="87">
        <v>2.2948682374484164E-2</v>
      </c>
      <c r="E33" s="87">
        <v>5.1799010426587015E-2</v>
      </c>
      <c r="F33" s="88">
        <v>111.61416273305268</v>
      </c>
      <c r="G33" s="88">
        <v>117.83126115531844</v>
      </c>
      <c r="H33" s="88">
        <v>163.71740846371824</v>
      </c>
      <c r="I33" s="88">
        <v>255.33471820663161</v>
      </c>
      <c r="J33" s="87">
        <v>0.18831262945914842</v>
      </c>
      <c r="K33" s="87">
        <v>0.16878894708466427</v>
      </c>
      <c r="L33" s="89">
        <v>0.13993861903256141</v>
      </c>
      <c r="M33" s="90"/>
      <c r="N33" s="52">
        <v>0.10922470000000001</v>
      </c>
      <c r="O33" s="92">
        <v>7.438793010933531E-2</v>
      </c>
      <c r="P33" s="92">
        <v>-9.5381666131307719E-2</v>
      </c>
      <c r="Q33" s="92">
        <v>-7.7780469210175118E-2</v>
      </c>
      <c r="R33" s="92">
        <v>-5.1771015893725458E-2</v>
      </c>
    </row>
    <row r="34" spans="1:18">
      <c r="A34" s="86">
        <v>1943</v>
      </c>
      <c r="B34" s="87">
        <v>0.25061310133060394</v>
      </c>
      <c r="C34" s="87">
        <v>3.8E-3</v>
      </c>
      <c r="D34" s="87">
        <v>2.4899999999999999E-2</v>
      </c>
      <c r="E34" s="87">
        <v>8.044670060105924E-2</v>
      </c>
      <c r="F34" s="88">
        <v>139.58613420800171</v>
      </c>
      <c r="G34" s="88">
        <v>118.27901994770866</v>
      </c>
      <c r="H34" s="88">
        <v>167.79397193446482</v>
      </c>
      <c r="I34" s="88">
        <v>275.87555383525631</v>
      </c>
      <c r="J34" s="87">
        <v>0.24681310133060394</v>
      </c>
      <c r="K34" s="87">
        <v>0.22571310133060393</v>
      </c>
      <c r="L34" s="89">
        <v>0.1701664007295447</v>
      </c>
      <c r="M34" s="90"/>
      <c r="N34" s="52">
        <v>5.9693899999999994E-2</v>
      </c>
      <c r="O34" s="92">
        <v>0.1801644808284768</v>
      </c>
      <c r="P34" s="92">
        <v>-5.2745325796439979E-2</v>
      </c>
      <c r="Q34" s="92">
        <v>-3.283391552975834E-2</v>
      </c>
      <c r="R34" s="92">
        <v>1.9583769049778432E-2</v>
      </c>
    </row>
    <row r="35" spans="1:18">
      <c r="A35" s="86">
        <v>1944</v>
      </c>
      <c r="B35" s="87">
        <v>0.19030676949443009</v>
      </c>
      <c r="C35" s="87">
        <v>3.8E-3</v>
      </c>
      <c r="D35" s="87">
        <v>2.5776111579070303E-2</v>
      </c>
      <c r="E35" s="87">
        <v>6.5658635882561697E-2</v>
      </c>
      <c r="F35" s="88">
        <v>166.15032047534245</v>
      </c>
      <c r="G35" s="88">
        <v>118.72848022350996</v>
      </c>
      <c r="H35" s="88">
        <v>172.11904807734297</v>
      </c>
      <c r="I35" s="88">
        <v>293.98916637342546</v>
      </c>
      <c r="J35" s="87">
        <v>0.1865067694944301</v>
      </c>
      <c r="K35" s="87">
        <v>0.16453065791535978</v>
      </c>
      <c r="L35" s="89">
        <v>0.1246481336118684</v>
      </c>
      <c r="M35" s="90"/>
      <c r="N35" s="52">
        <v>1.63698E-2</v>
      </c>
      <c r="O35" s="92">
        <v>0.17113551533549098</v>
      </c>
      <c r="P35" s="92">
        <v>-1.2367348970817593E-2</v>
      </c>
      <c r="Q35" s="92">
        <v>9.2548121550544149E-3</v>
      </c>
      <c r="R35" s="92">
        <v>4.8494982714521351E-2</v>
      </c>
    </row>
    <row r="36" spans="1:18">
      <c r="A36" s="86">
        <v>1945</v>
      </c>
      <c r="B36" s="87">
        <v>0.35821084337349401</v>
      </c>
      <c r="C36" s="87">
        <v>3.8E-3</v>
      </c>
      <c r="D36" s="87">
        <v>3.8044173419237229E-2</v>
      </c>
      <c r="E36" s="87">
        <v>6.799865477817886E-2</v>
      </c>
      <c r="F36" s="88">
        <v>225.66716689959119</v>
      </c>
      <c r="G36" s="88">
        <v>119.1796484483593</v>
      </c>
      <c r="H36" s="88">
        <v>178.66717499115143</v>
      </c>
      <c r="I36" s="88">
        <v>313.98003420617658</v>
      </c>
      <c r="J36" s="87">
        <v>0.35441084337349399</v>
      </c>
      <c r="K36" s="87">
        <v>0.3201666699542568</v>
      </c>
      <c r="L36" s="89">
        <v>0.29021218859531517</v>
      </c>
      <c r="M36" s="90"/>
      <c r="N36" s="52">
        <v>2.2738000000000001E-2</v>
      </c>
      <c r="O36" s="92">
        <v>0.32801445079139935</v>
      </c>
      <c r="P36" s="92">
        <v>-1.8516961333205462E-2</v>
      </c>
      <c r="Q36" s="92">
        <v>1.4965879256698456E-2</v>
      </c>
      <c r="R36" s="92">
        <v>4.4254398270308526E-2</v>
      </c>
    </row>
    <row r="37" spans="1:18">
      <c r="A37" s="86">
        <v>1946</v>
      </c>
      <c r="B37" s="87">
        <v>-8.4291474654377807E-2</v>
      </c>
      <c r="C37" s="87">
        <v>3.8E-3</v>
      </c>
      <c r="D37" s="87">
        <v>3.1283745375695685E-2</v>
      </c>
      <c r="E37" s="87">
        <v>2.5080329773195936E-2</v>
      </c>
      <c r="F37" s="88">
        <v>206.64534862054904</v>
      </c>
      <c r="G37" s="88">
        <v>119.63253111246307</v>
      </c>
      <c r="H37" s="88">
        <v>184.25655340056949</v>
      </c>
      <c r="I37" s="88">
        <v>321.85475700626682</v>
      </c>
      <c r="J37" s="87">
        <v>-8.8091474654377805E-2</v>
      </c>
      <c r="K37" s="87">
        <v>-0.11557522003007349</v>
      </c>
      <c r="L37" s="89">
        <v>-0.10937180442757374</v>
      </c>
      <c r="M37" s="90"/>
      <c r="N37" s="52">
        <v>8.4761500000000004E-2</v>
      </c>
      <c r="O37" s="92">
        <v>-0.15584345006195166</v>
      </c>
      <c r="P37" s="92">
        <v>-7.4635300017561357E-2</v>
      </c>
      <c r="Q37" s="92">
        <v>-4.9299089822328779E-2</v>
      </c>
      <c r="R37" s="92">
        <v>-5.5017780615189693E-2</v>
      </c>
    </row>
    <row r="38" spans="1:18">
      <c r="A38" s="86">
        <v>1947</v>
      </c>
      <c r="B38" s="87">
        <v>5.1999999999999998E-2</v>
      </c>
      <c r="C38" s="87">
        <v>6.0083333333333334E-3</v>
      </c>
      <c r="D38" s="87">
        <v>9.1969680628322358E-3</v>
      </c>
      <c r="E38" s="87">
        <v>2.6212022665691934E-3</v>
      </c>
      <c r="F38" s="88">
        <v>217.3909067488176</v>
      </c>
      <c r="G38" s="88">
        <v>120.35132323689713</v>
      </c>
      <c r="H38" s="88">
        <v>185.95115503756207</v>
      </c>
      <c r="I38" s="88">
        <v>322.69840342483775</v>
      </c>
      <c r="J38" s="87">
        <v>4.5991666666666667E-2</v>
      </c>
      <c r="K38" s="87">
        <v>4.2803031937167765E-2</v>
      </c>
      <c r="L38" s="89">
        <v>4.9378797733430804E-2</v>
      </c>
      <c r="M38" s="90"/>
      <c r="N38" s="52">
        <v>0.1438941</v>
      </c>
      <c r="O38" s="92">
        <v>-8.0334447043655555E-2</v>
      </c>
      <c r="P38" s="92">
        <v>-0.12054067475884933</v>
      </c>
      <c r="Q38" s="92">
        <v>-0.11775314859755615</v>
      </c>
      <c r="R38" s="92">
        <v>-0.12350172776783341</v>
      </c>
    </row>
    <row r="39" spans="1:18">
      <c r="A39" s="86">
        <v>1948</v>
      </c>
      <c r="B39" s="87">
        <v>5.7045751633986834E-2</v>
      </c>
      <c r="C39" s="87">
        <v>1.0449999999999999E-2</v>
      </c>
      <c r="D39" s="87">
        <v>1.9510369413175046E-2</v>
      </c>
      <c r="E39" s="87">
        <v>3.4369595605103213E-2</v>
      </c>
      <c r="F39" s="88">
        <v>229.79213442269784</v>
      </c>
      <c r="G39" s="88">
        <v>121.60899456472271</v>
      </c>
      <c r="H39" s="88">
        <v>189.57913076515149</v>
      </c>
      <c r="I39" s="88">
        <v>333.78941705296182</v>
      </c>
      <c r="J39" s="87">
        <v>4.6595751633986833E-2</v>
      </c>
      <c r="K39" s="87">
        <v>3.7535382220811792E-2</v>
      </c>
      <c r="L39" s="89">
        <v>2.2676156028883621E-2</v>
      </c>
      <c r="M39" s="90"/>
      <c r="N39" s="52">
        <v>7.6894400000000002E-2</v>
      </c>
      <c r="O39" s="92">
        <v>-1.8431378569721546E-2</v>
      </c>
      <c r="P39" s="92">
        <v>-6.1700014411812276E-2</v>
      </c>
      <c r="Q39" s="92">
        <v>-5.3286590204968065E-2</v>
      </c>
      <c r="R39" s="92">
        <v>-3.9488369885568142E-2</v>
      </c>
    </row>
    <row r="40" spans="1:18">
      <c r="A40" s="86">
        <v>1949</v>
      </c>
      <c r="B40" s="87">
        <v>0.18303223684210526</v>
      </c>
      <c r="C40" s="87">
        <v>1.115E-2</v>
      </c>
      <c r="D40" s="87">
        <v>4.6634851827973139E-2</v>
      </c>
      <c r="E40" s="87">
        <v>5.3773011179658936E-2</v>
      </c>
      <c r="F40" s="88">
        <v>271.85150279480598</v>
      </c>
      <c r="G40" s="88">
        <v>122.96493485411936</v>
      </c>
      <c r="H40" s="88">
        <v>198.42012543806027</v>
      </c>
      <c r="I40" s="88">
        <v>351.73827910780261</v>
      </c>
      <c r="J40" s="87">
        <v>0.17188223684210527</v>
      </c>
      <c r="K40" s="87">
        <v>0.13639738501413212</v>
      </c>
      <c r="L40" s="89">
        <v>0.12925922566244633</v>
      </c>
      <c r="M40" s="90"/>
      <c r="N40" s="52">
        <v>-9.7053999999999994E-3</v>
      </c>
      <c r="O40" s="92">
        <v>0.19462656551101598</v>
      </c>
      <c r="P40" s="92">
        <v>2.1059793721989406E-2</v>
      </c>
      <c r="Q40" s="92">
        <v>5.6892415477145075E-2</v>
      </c>
      <c r="R40" s="92">
        <v>6.4100532487664896E-2</v>
      </c>
    </row>
    <row r="41" spans="1:18">
      <c r="A41" s="86">
        <v>1950</v>
      </c>
      <c r="B41" s="87">
        <v>0.30805539011316263</v>
      </c>
      <c r="C41" s="87">
        <v>1.2033333333333333E-2</v>
      </c>
      <c r="D41" s="87">
        <v>4.2959574171096103E-3</v>
      </c>
      <c r="E41" s="87">
        <v>4.2388173056720914E-2</v>
      </c>
      <c r="F41" s="88">
        <v>355.59682354110947</v>
      </c>
      <c r="G41" s="88">
        <v>124.4446129035306</v>
      </c>
      <c r="H41" s="88">
        <v>199.2725298476397</v>
      </c>
      <c r="I41" s="88">
        <v>366.64782215329734</v>
      </c>
      <c r="J41" s="87">
        <v>0.29602205677982929</v>
      </c>
      <c r="K41" s="87">
        <v>0.30375943269605304</v>
      </c>
      <c r="L41" s="89">
        <v>0.2656672170564417</v>
      </c>
      <c r="M41" s="90"/>
      <c r="N41" s="52">
        <v>1.0850500000000001E-2</v>
      </c>
      <c r="O41" s="92">
        <v>0.29401468378673457</v>
      </c>
      <c r="P41" s="92">
        <v>1.1701367643714988E-3</v>
      </c>
      <c r="Q41" s="92">
        <v>-6.4841859235272858E-3</v>
      </c>
      <c r="R41" s="92">
        <v>3.1199146715286563E-2</v>
      </c>
    </row>
    <row r="42" spans="1:18">
      <c r="A42" s="86">
        <v>1951</v>
      </c>
      <c r="B42" s="87">
        <v>0.23678463044542339</v>
      </c>
      <c r="C42" s="87">
        <v>1.5175000000000001E-2</v>
      </c>
      <c r="D42" s="87">
        <v>-2.9531392208319886E-3</v>
      </c>
      <c r="E42" s="87">
        <v>-1.9098091301369691E-3</v>
      </c>
      <c r="F42" s="88">
        <v>439.7966859908575</v>
      </c>
      <c r="G42" s="88">
        <v>126.33305990434167</v>
      </c>
      <c r="H42" s="88">
        <v>198.68405032411223</v>
      </c>
      <c r="I42" s="88">
        <v>365.94759479500414</v>
      </c>
      <c r="J42" s="87">
        <v>0.22160963044542339</v>
      </c>
      <c r="K42" s="87">
        <v>0.23973776966625537</v>
      </c>
      <c r="L42" s="89">
        <v>0.23869443957556036</v>
      </c>
      <c r="M42" s="90"/>
      <c r="N42" s="52">
        <v>7.8601099999999993E-2</v>
      </c>
      <c r="O42" s="92">
        <v>0.14665619240090089</v>
      </c>
      <c r="P42" s="92">
        <v>-5.8804037933949838E-2</v>
      </c>
      <c r="Q42" s="92">
        <v>-7.5611121869643916E-2</v>
      </c>
      <c r="R42" s="92">
        <v>-7.4643822568080886E-2</v>
      </c>
    </row>
    <row r="43" spans="1:18">
      <c r="A43" s="86">
        <v>1952</v>
      </c>
      <c r="B43" s="87">
        <v>0.18150988641144306</v>
      </c>
      <c r="C43" s="87">
        <v>1.7225000000000001E-2</v>
      </c>
      <c r="D43" s="87">
        <v>2.2679961918305656E-2</v>
      </c>
      <c r="E43" s="87">
        <v>4.4412415047400768E-2</v>
      </c>
      <c r="F43" s="88">
        <v>519.62413250918712</v>
      </c>
      <c r="G43" s="88">
        <v>128.50914686119395</v>
      </c>
      <c r="H43" s="88">
        <v>203.19019701923781</v>
      </c>
      <c r="I43" s="88">
        <v>382.2002112606379</v>
      </c>
      <c r="J43" s="87">
        <v>0.16428488641144307</v>
      </c>
      <c r="K43" s="87">
        <v>0.1588299244931374</v>
      </c>
      <c r="L43" s="89">
        <v>0.13709747136404229</v>
      </c>
      <c r="M43" s="90"/>
      <c r="N43" s="52">
        <v>2.2792900000000001E-2</v>
      </c>
      <c r="O43" s="92">
        <v>0.15517998454178072</v>
      </c>
      <c r="P43" s="92">
        <v>-5.4438195650360344E-3</v>
      </c>
      <c r="Q43" s="92">
        <v>-1.1042126093607774E-4</v>
      </c>
      <c r="R43" s="92">
        <v>2.1137724995354157E-2</v>
      </c>
    </row>
    <row r="44" spans="1:18">
      <c r="A44" s="86">
        <v>1953</v>
      </c>
      <c r="B44" s="87">
        <v>-1.2082047421904465E-2</v>
      </c>
      <c r="C44" s="87">
        <v>1.8908333333333333E-2</v>
      </c>
      <c r="D44" s="87">
        <v>4.1438402589088513E-2</v>
      </c>
      <c r="E44" s="87">
        <v>1.6201123818443276E-2</v>
      </c>
      <c r="F44" s="88">
        <v>513.34600909864514</v>
      </c>
      <c r="G44" s="88">
        <v>130.93904064642769</v>
      </c>
      <c r="H44" s="88">
        <v>211.61007420547722</v>
      </c>
      <c r="I44" s="88">
        <v>388.39228420670662</v>
      </c>
      <c r="J44" s="87">
        <v>-3.0990380755237797E-2</v>
      </c>
      <c r="K44" s="87">
        <v>-5.3520450010992981E-2</v>
      </c>
      <c r="L44" s="89">
        <v>-2.8283171240347741E-2</v>
      </c>
      <c r="M44" s="90"/>
      <c r="N44" s="52">
        <v>8.1606999999999999E-3</v>
      </c>
      <c r="O44" s="92">
        <v>-2.0078889627322627E-2</v>
      </c>
      <c r="P44" s="92">
        <v>1.0660635088566073E-2</v>
      </c>
      <c r="Q44" s="92">
        <v>3.3008331498231014E-2</v>
      </c>
      <c r="R44" s="92">
        <v>7.9753394656658649E-3</v>
      </c>
    </row>
    <row r="45" spans="1:18">
      <c r="A45" s="86">
        <v>1954</v>
      </c>
      <c r="B45" s="87">
        <v>0.52563321241434902</v>
      </c>
      <c r="C45" s="87">
        <v>9.3833333333333338E-3</v>
      </c>
      <c r="D45" s="87">
        <v>3.2898034558095555E-2</v>
      </c>
      <c r="E45" s="87">
        <v>6.1579051817707856E-2</v>
      </c>
      <c r="F45" s="88">
        <v>783.17772094125166</v>
      </c>
      <c r="G45" s="88">
        <v>132.16768531116</v>
      </c>
      <c r="H45" s="88">
        <v>218.57162973953018</v>
      </c>
      <c r="I45" s="88">
        <v>412.30911280146938</v>
      </c>
      <c r="J45" s="87">
        <v>0.51624987908101572</v>
      </c>
      <c r="K45" s="87">
        <v>0.49273517785625348</v>
      </c>
      <c r="L45" s="89">
        <v>0.46405416059664117</v>
      </c>
      <c r="M45" s="90"/>
      <c r="N45" s="52">
        <v>3.1132999999999998E-3</v>
      </c>
      <c r="O45" s="92">
        <v>0.52089820004813903</v>
      </c>
      <c r="P45" s="92">
        <v>6.250573423095096E-3</v>
      </c>
      <c r="Q45" s="92">
        <v>2.9692293540615422E-2</v>
      </c>
      <c r="R45" s="92">
        <v>5.82842953210847E-2</v>
      </c>
    </row>
    <row r="46" spans="1:18">
      <c r="A46" s="86">
        <v>1955</v>
      </c>
      <c r="B46" s="87">
        <v>0.32597331851028349</v>
      </c>
      <c r="C46" s="87">
        <v>1.7250000000000001E-2</v>
      </c>
      <c r="D46" s="87">
        <v>-1.3364391288618781E-2</v>
      </c>
      <c r="E46" s="87">
        <v>2.044690004344954E-2</v>
      </c>
      <c r="F46" s="88">
        <v>1038.4727616197922</v>
      </c>
      <c r="G46" s="88">
        <v>134.44757788277749</v>
      </c>
      <c r="H46" s="88">
        <v>215.65055295509998</v>
      </c>
      <c r="I46" s="88">
        <v>420.73955601792437</v>
      </c>
      <c r="J46" s="87">
        <v>0.30872331851028351</v>
      </c>
      <c r="K46" s="87">
        <v>0.33933770979890227</v>
      </c>
      <c r="L46" s="89">
        <v>0.30552641846683393</v>
      </c>
      <c r="M46" s="90"/>
      <c r="N46" s="52">
        <v>-2.7933000000000003E-3</v>
      </c>
      <c r="O46" s="92">
        <v>0.32968753470096379</v>
      </c>
      <c r="P46" s="92">
        <v>2.0099443776300241E-2</v>
      </c>
      <c r="Q46" s="92">
        <v>-1.0600702230158299E-2</v>
      </c>
      <c r="R46" s="92">
        <v>2.3305298734404234E-2</v>
      </c>
    </row>
    <row r="47" spans="1:18">
      <c r="A47" s="86">
        <v>1956</v>
      </c>
      <c r="B47" s="87">
        <v>7.4395118733509347E-2</v>
      </c>
      <c r="C47" s="87">
        <v>2.6275E-2</v>
      </c>
      <c r="D47" s="87">
        <v>-2.2557738173154165E-2</v>
      </c>
      <c r="E47" s="87">
        <v>-2.3526541979620903E-2</v>
      </c>
      <c r="F47" s="88">
        <v>1115.7300660220119</v>
      </c>
      <c r="G47" s="88">
        <v>137.98018799164748</v>
      </c>
      <c r="H47" s="88">
        <v>210.78596424464291</v>
      </c>
      <c r="I47" s="88">
        <v>410.84100919078162</v>
      </c>
      <c r="J47" s="87">
        <v>4.8120118733509347E-2</v>
      </c>
      <c r="K47" s="87">
        <v>9.6952856906663512E-2</v>
      </c>
      <c r="L47" s="89">
        <v>9.7921660713130243E-2</v>
      </c>
      <c r="M47" s="90"/>
      <c r="N47" s="52">
        <v>1.52505E-2</v>
      </c>
      <c r="O47" s="92">
        <v>5.8256182817451707E-2</v>
      </c>
      <c r="P47" s="92">
        <v>1.0858896400445017E-2</v>
      </c>
      <c r="Q47" s="92">
        <v>-3.7240304903227606E-2</v>
      </c>
      <c r="R47" s="92">
        <v>-3.8194555904794925E-2</v>
      </c>
    </row>
    <row r="48" spans="1:18">
      <c r="A48" s="86">
        <v>1957</v>
      </c>
      <c r="B48" s="87">
        <v>-0.1045736018855796</v>
      </c>
      <c r="C48" s="87">
        <v>3.2250000000000001E-2</v>
      </c>
      <c r="D48" s="87">
        <v>6.7970128466249904E-2</v>
      </c>
      <c r="E48" s="87">
        <v>-7.1892844025423647E-3</v>
      </c>
      <c r="F48" s="88">
        <v>999.05415428605454</v>
      </c>
      <c r="G48" s="88">
        <v>142.43004905437809</v>
      </c>
      <c r="H48" s="88">
        <v>225.11311331323367</v>
      </c>
      <c r="I48" s="88">
        <v>407.88735633148156</v>
      </c>
      <c r="J48" s="87">
        <v>-0.1368236018855796</v>
      </c>
      <c r="K48" s="87">
        <v>-0.17254373035182952</v>
      </c>
      <c r="L48" s="89">
        <v>-9.7384317483037233E-2</v>
      </c>
      <c r="M48" s="90"/>
      <c r="N48" s="52">
        <v>3.3415100000000003E-2</v>
      </c>
      <c r="O48" s="92">
        <v>-0.13352688758426279</v>
      </c>
      <c r="P48" s="92">
        <v>-1.1274269168315421E-3</v>
      </c>
      <c r="Q48" s="92">
        <v>3.3437704235451893E-2</v>
      </c>
      <c r="R48" s="92">
        <v>-3.9291456455922136E-2</v>
      </c>
    </row>
    <row r="49" spans="1:18">
      <c r="A49" s="86">
        <v>1958</v>
      </c>
      <c r="B49" s="87">
        <v>0.43719954988747184</v>
      </c>
      <c r="C49" s="87">
        <v>1.7708333333333333E-2</v>
      </c>
      <c r="D49" s="87">
        <v>-2.0990181755274694E-2</v>
      </c>
      <c r="E49" s="87">
        <v>6.4300928973360261E-2</v>
      </c>
      <c r="F49" s="88">
        <v>1435.8401808531264</v>
      </c>
      <c r="G49" s="88">
        <v>144.95224783971605</v>
      </c>
      <c r="H49" s="88">
        <v>220.38794814929315</v>
      </c>
      <c r="I49" s="88">
        <v>434.11489226008382</v>
      </c>
      <c r="J49" s="87">
        <v>0.41949121655413851</v>
      </c>
      <c r="K49" s="87">
        <v>0.45818973164274651</v>
      </c>
      <c r="L49" s="89">
        <v>0.37289862091411158</v>
      </c>
      <c r="M49" s="90"/>
      <c r="N49" s="52">
        <v>2.7291599999999999E-2</v>
      </c>
      <c r="O49" s="92">
        <v>0.39901810731000986</v>
      </c>
      <c r="P49" s="92">
        <v>-9.328672274422023E-3</v>
      </c>
      <c r="Q49" s="92">
        <v>-4.6999101088020967E-2</v>
      </c>
      <c r="R49" s="92">
        <v>3.6026118556172548E-2</v>
      </c>
    </row>
    <row r="50" spans="1:18">
      <c r="A50" s="86">
        <v>1959</v>
      </c>
      <c r="B50" s="87">
        <v>0.12056457163557326</v>
      </c>
      <c r="C50" s="87">
        <v>3.3858333333333331E-2</v>
      </c>
      <c r="D50" s="87">
        <v>-2.6466312591385065E-2</v>
      </c>
      <c r="E50" s="87">
        <v>1.5743430895022732E-2</v>
      </c>
      <c r="F50" s="88">
        <v>1608.9516371948275</v>
      </c>
      <c r="G50" s="88">
        <v>149.86008936448911</v>
      </c>
      <c r="H50" s="88">
        <v>214.55509182219998</v>
      </c>
      <c r="I50" s="88">
        <v>440.94935006688075</v>
      </c>
      <c r="J50" s="87">
        <v>8.6706238302239919E-2</v>
      </c>
      <c r="K50" s="87">
        <v>0.14703088422695831</v>
      </c>
      <c r="L50" s="89">
        <v>0.10482114074055052</v>
      </c>
      <c r="M50" s="90"/>
      <c r="N50" s="52">
        <v>1.0106800000000001E-2</v>
      </c>
      <c r="O50" s="92">
        <v>0.10935256711030283</v>
      </c>
      <c r="P50" s="92">
        <v>2.3513883218421405E-2</v>
      </c>
      <c r="Q50" s="92">
        <v>-3.6207173925950298E-2</v>
      </c>
      <c r="R50" s="92">
        <v>5.58023260017948E-3</v>
      </c>
    </row>
    <row r="51" spans="1:18">
      <c r="A51" s="86">
        <v>1960</v>
      </c>
      <c r="B51" s="87">
        <v>3.36535314743695E-3</v>
      </c>
      <c r="C51" s="87">
        <v>2.8833333333333332E-2</v>
      </c>
      <c r="D51" s="87">
        <v>0.11639503690963365</v>
      </c>
      <c r="E51" s="87">
        <v>6.6631871633034342E-2</v>
      </c>
      <c r="F51" s="88">
        <v>1614.366327651135</v>
      </c>
      <c r="G51" s="88">
        <v>154.18105527449853</v>
      </c>
      <c r="H51" s="88">
        <v>239.52823965399477</v>
      </c>
      <c r="I51" s="88">
        <v>470.33063055720703</v>
      </c>
      <c r="J51" s="87">
        <v>-2.5467980185896383E-2</v>
      </c>
      <c r="K51" s="87">
        <v>-0.1130296837621967</v>
      </c>
      <c r="L51" s="89">
        <v>-6.3266518485597389E-2</v>
      </c>
      <c r="M51" s="89">
        <v>6.1119788031217315E-2</v>
      </c>
      <c r="N51" s="52">
        <v>1.45798E-2</v>
      </c>
      <c r="O51" s="92">
        <v>-1.105329206491501E-2</v>
      </c>
      <c r="P51" s="92">
        <v>1.4048706009456735E-2</v>
      </c>
      <c r="Q51" s="92">
        <v>0.10035212302633423</v>
      </c>
      <c r="R51" s="92">
        <v>5.1304068574038686E-2</v>
      </c>
    </row>
    <row r="52" spans="1:18">
      <c r="A52" s="86">
        <v>1961</v>
      </c>
      <c r="B52" s="87">
        <v>0.26637712958182752</v>
      </c>
      <c r="C52" s="87">
        <v>2.3541666666666666E-2</v>
      </c>
      <c r="D52" s="87">
        <v>2.0609208076323167E-2</v>
      </c>
      <c r="E52" s="87">
        <v>5.0999999999999997E-2</v>
      </c>
      <c r="F52" s="88">
        <v>2044.3965961044005</v>
      </c>
      <c r="G52" s="88">
        <v>157.81073428408567</v>
      </c>
      <c r="H52" s="88">
        <v>244.46472698517934</v>
      </c>
      <c r="I52" s="88">
        <v>494.31749271562455</v>
      </c>
      <c r="J52" s="87">
        <v>0.24283546291516087</v>
      </c>
      <c r="K52" s="87">
        <v>0.24576792150550436</v>
      </c>
      <c r="L52" s="89">
        <v>0.21537712958182753</v>
      </c>
      <c r="M52" s="89">
        <v>6.6173591829972622E-2</v>
      </c>
      <c r="N52" s="52">
        <v>1.0707199999999998E-2</v>
      </c>
      <c r="O52" s="92">
        <v>0.25296142105431496</v>
      </c>
      <c r="P52" s="92">
        <v>1.2698501273827434E-2</v>
      </c>
      <c r="Q52" s="92">
        <v>9.7971084764443273E-3</v>
      </c>
      <c r="R52" s="92">
        <v>3.9865947328761475E-2</v>
      </c>
    </row>
    <row r="53" spans="1:18">
      <c r="A53" s="86">
        <v>1962</v>
      </c>
      <c r="B53" s="87">
        <v>-8.8114605171208879E-2</v>
      </c>
      <c r="C53" s="87">
        <v>2.7733333333333336E-2</v>
      </c>
      <c r="D53" s="87">
        <v>5.693544054008462E-2</v>
      </c>
      <c r="E53" s="87">
        <v>6.4953279936065755E-2</v>
      </c>
      <c r="F53" s="88">
        <v>1864.2553972252979</v>
      </c>
      <c r="G53" s="88">
        <v>162.18735198156432</v>
      </c>
      <c r="H53" s="88">
        <v>258.38343391259201</v>
      </c>
      <c r="I53" s="88">
        <v>526.42503519727666</v>
      </c>
      <c r="J53" s="87">
        <v>-0.11584793850454221</v>
      </c>
      <c r="K53" s="87">
        <v>-0.14505004571129348</v>
      </c>
      <c r="L53" s="89">
        <v>-0.15306788510727465</v>
      </c>
      <c r="M53" s="89">
        <v>5.9683465378989942E-2</v>
      </c>
      <c r="N53" s="52">
        <v>1.1987699999999999E-2</v>
      </c>
      <c r="O53" s="92">
        <v>-9.8916523561708103E-2</v>
      </c>
      <c r="P53" s="92">
        <v>1.5559115326533535E-2</v>
      </c>
      <c r="Q53" s="92">
        <v>4.4415303209796475E-2</v>
      </c>
      <c r="R53" s="92">
        <v>5.2338165707019657E-2</v>
      </c>
    </row>
    <row r="54" spans="1:18">
      <c r="A54" s="86">
        <v>1963</v>
      </c>
      <c r="B54" s="87">
        <v>0.22611927099841514</v>
      </c>
      <c r="C54" s="87">
        <v>3.1591666666666664E-2</v>
      </c>
      <c r="D54" s="87">
        <v>1.6841620739546127E-2</v>
      </c>
      <c r="E54" s="87">
        <v>5.4644805711862345E-2</v>
      </c>
      <c r="F54" s="88">
        <v>2285.7994686007432</v>
      </c>
      <c r="G54" s="88">
        <v>167.31112074291525</v>
      </c>
      <c r="H54" s="88">
        <v>262.73502971192949</v>
      </c>
      <c r="I54" s="88">
        <v>555.19142896749213</v>
      </c>
      <c r="J54" s="87">
        <v>0.19452760433174848</v>
      </c>
      <c r="K54" s="87">
        <v>0.20927765025886902</v>
      </c>
      <c r="L54" s="89">
        <v>0.1714744652865528</v>
      </c>
      <c r="M54" s="89">
        <v>6.3618993911514821E-2</v>
      </c>
      <c r="N54" s="52">
        <v>1.23967E-2</v>
      </c>
      <c r="O54" s="92">
        <v>0.21110555871864767</v>
      </c>
      <c r="P54" s="92">
        <v>1.8959926150160955E-2</v>
      </c>
      <c r="Q54" s="92">
        <v>4.3904931135652081E-3</v>
      </c>
      <c r="R54" s="92">
        <v>4.1730781729990118E-2</v>
      </c>
    </row>
    <row r="55" spans="1:18">
      <c r="A55" s="86">
        <v>1964</v>
      </c>
      <c r="B55" s="87">
        <v>0.16415455878432425</v>
      </c>
      <c r="C55" s="87">
        <v>3.5466666666666667E-2</v>
      </c>
      <c r="D55" s="87">
        <v>3.7280648911540815E-2</v>
      </c>
      <c r="E55" s="87">
        <v>5.1617392722850271E-2</v>
      </c>
      <c r="F55" s="88">
        <v>2661.0238718383412</v>
      </c>
      <c r="G55" s="88">
        <v>173.24508849193066</v>
      </c>
      <c r="H55" s="88">
        <v>272.52996211138321</v>
      </c>
      <c r="I55" s="88">
        <v>583.84896299286754</v>
      </c>
      <c r="J55" s="87">
        <v>0.12868789211765758</v>
      </c>
      <c r="K55" s="87">
        <v>0.12687390987278344</v>
      </c>
      <c r="L55" s="89">
        <v>0.11253716606147399</v>
      </c>
      <c r="M55" s="89">
        <v>6.5267777442658215E-2</v>
      </c>
      <c r="N55" s="52">
        <v>1.2789099999999999E-2</v>
      </c>
      <c r="O55" s="92">
        <v>0.14945407566523405</v>
      </c>
      <c r="P55" s="92">
        <v>2.2391203328182341E-2</v>
      </c>
      <c r="Q55" s="92">
        <v>2.4182279323050393E-2</v>
      </c>
      <c r="R55" s="92">
        <v>3.8337984406477288E-2</v>
      </c>
    </row>
    <row r="56" spans="1:18">
      <c r="A56" s="86">
        <v>1965</v>
      </c>
      <c r="B56" s="87">
        <v>0.12399242477876114</v>
      </c>
      <c r="C56" s="87">
        <v>3.9491666666666668E-2</v>
      </c>
      <c r="D56" s="87">
        <v>7.1885509359262342E-3</v>
      </c>
      <c r="E56" s="87">
        <v>3.1900094622538809E-2</v>
      </c>
      <c r="F56" s="88">
        <v>2990.9706741017444</v>
      </c>
      <c r="G56" s="88">
        <v>180.08682577829117</v>
      </c>
      <c r="H56" s="88">
        <v>274.48905762558695</v>
      </c>
      <c r="I56" s="88">
        <v>602.47380015761109</v>
      </c>
      <c r="J56" s="87">
        <v>8.4500758112094482E-2</v>
      </c>
      <c r="K56" s="87">
        <v>0.11680387384283492</v>
      </c>
      <c r="L56" s="89">
        <v>9.2092330156222341E-2</v>
      </c>
      <c r="M56" s="89">
        <v>6.6617941689874449E-2</v>
      </c>
      <c r="N56" s="52">
        <v>1.58517E-2</v>
      </c>
      <c r="O56" s="92">
        <v>0.10645325964287999</v>
      </c>
      <c r="P56" s="92">
        <v>2.3271080480218309E-2</v>
      </c>
      <c r="Q56" s="92">
        <v>-8.527966300665546E-3</v>
      </c>
      <c r="R56" s="92">
        <v>1.5797969942402679E-2</v>
      </c>
    </row>
    <row r="57" spans="1:18">
      <c r="A57" s="86">
        <v>1966</v>
      </c>
      <c r="B57" s="87">
        <v>-9.9709542356377898E-2</v>
      </c>
      <c r="C57" s="87">
        <v>4.8625000000000002E-2</v>
      </c>
      <c r="D57" s="87">
        <v>2.9079409324299622E-2</v>
      </c>
      <c r="E57" s="87">
        <v>-3.4453615975776369E-2</v>
      </c>
      <c r="F57" s="88">
        <v>2692.7423569857124</v>
      </c>
      <c r="G57" s="88">
        <v>188.84354768176055</v>
      </c>
      <c r="H57" s="88">
        <v>282.47103728732264</v>
      </c>
      <c r="I57" s="88">
        <v>581.71639921151416</v>
      </c>
      <c r="J57" s="87">
        <v>-0.14833454235637789</v>
      </c>
      <c r="K57" s="87">
        <v>-0.12878895168067753</v>
      </c>
      <c r="L57" s="89">
        <v>-6.5255926380601528E-2</v>
      </c>
      <c r="M57" s="89">
        <v>6.1123719679815336E-2</v>
      </c>
      <c r="N57" s="52">
        <v>3.0150800000000002E-2</v>
      </c>
      <c r="O57" s="92">
        <v>-0.12605954619107973</v>
      </c>
      <c r="P57" s="92">
        <v>1.7933490902497073E-2</v>
      </c>
      <c r="Q57" s="92">
        <v>-1.0400328531514624E-3</v>
      </c>
      <c r="R57" s="92">
        <v>-6.2713552205925893E-2</v>
      </c>
    </row>
    <row r="58" spans="1:18">
      <c r="A58" s="86">
        <v>1967</v>
      </c>
      <c r="B58" s="87">
        <v>0.23802966513133328</v>
      </c>
      <c r="C58" s="87">
        <v>4.306666666666667E-2</v>
      </c>
      <c r="D58" s="87">
        <v>-1.5806209932824666E-2</v>
      </c>
      <c r="E58" s="87">
        <v>8.9522661484468247E-3</v>
      </c>
      <c r="F58" s="88">
        <v>3333.6949185039784</v>
      </c>
      <c r="G58" s="88">
        <v>196.9764098019217</v>
      </c>
      <c r="H58" s="88">
        <v>278.0062407720165</v>
      </c>
      <c r="I58" s="88">
        <v>586.92407924017186</v>
      </c>
      <c r="J58" s="87">
        <v>0.19496299846466661</v>
      </c>
      <c r="K58" s="87">
        <v>0.25383587506415795</v>
      </c>
      <c r="L58" s="89">
        <v>0.22907739898288645</v>
      </c>
      <c r="M58" s="89">
        <v>6.5732838776739522E-2</v>
      </c>
      <c r="N58" s="52">
        <v>2.77279E-2</v>
      </c>
      <c r="O58" s="92">
        <v>0.2046278641762409</v>
      </c>
      <c r="P58" s="92">
        <v>1.4924929708210355E-2</v>
      </c>
      <c r="Q58" s="92">
        <v>-4.2359568065462261E-2</v>
      </c>
      <c r="R58" s="92">
        <v>-1.8269070881069771E-2</v>
      </c>
    </row>
    <row r="59" spans="1:18">
      <c r="A59" s="86">
        <v>1968</v>
      </c>
      <c r="B59" s="87">
        <v>0.10814862651601535</v>
      </c>
      <c r="C59" s="87">
        <v>5.3383333333333331E-2</v>
      </c>
      <c r="D59" s="87">
        <v>3.2746196950768365E-2</v>
      </c>
      <c r="E59" s="87">
        <v>4.845146224309746E-2</v>
      </c>
      <c r="F59" s="88">
        <v>3694.2294451636035</v>
      </c>
      <c r="G59" s="88">
        <v>207.49166714518097</v>
      </c>
      <c r="H59" s="88">
        <v>287.10988788587969</v>
      </c>
      <c r="I59" s="88">
        <v>615.36140910504173</v>
      </c>
      <c r="J59" s="87">
        <v>5.4765293182682022E-2</v>
      </c>
      <c r="K59" s="87">
        <v>7.5402429565246981E-2</v>
      </c>
      <c r="L59" s="89">
        <v>5.9697164272917894E-2</v>
      </c>
      <c r="M59" s="89">
        <v>6.596627828748769E-2</v>
      </c>
      <c r="N59" s="52">
        <v>4.2717999999999999E-2</v>
      </c>
      <c r="O59" s="92">
        <v>6.2750069065668157E-2</v>
      </c>
      <c r="P59" s="92">
        <v>1.0228396683795049E-2</v>
      </c>
      <c r="Q59" s="92">
        <v>-9.5632789011331765E-3</v>
      </c>
      <c r="R59" s="92">
        <v>5.4985741524529175E-3</v>
      </c>
    </row>
    <row r="60" spans="1:18">
      <c r="A60" s="86">
        <v>1969</v>
      </c>
      <c r="B60" s="87">
        <v>-8.2413710764490639E-2</v>
      </c>
      <c r="C60" s="87">
        <v>6.6666666666666666E-2</v>
      </c>
      <c r="D60" s="87">
        <v>-5.0140493209926106E-2</v>
      </c>
      <c r="E60" s="87">
        <v>-2.0251642507921469E-2</v>
      </c>
      <c r="F60" s="88">
        <v>3389.7742881722256</v>
      </c>
      <c r="G60" s="88">
        <v>221.3244449548597</v>
      </c>
      <c r="H60" s="88">
        <v>272.7140565018351</v>
      </c>
      <c r="I60" s="88">
        <v>602.89932983467565</v>
      </c>
      <c r="J60" s="87">
        <v>-0.14908037743115732</v>
      </c>
      <c r="K60" s="87">
        <v>-3.2273217554564533E-2</v>
      </c>
      <c r="L60" s="89">
        <v>-6.216206825656917E-2</v>
      </c>
      <c r="M60" s="89">
        <v>6.3333872734198771E-2</v>
      </c>
      <c r="N60" s="52">
        <v>5.4623900000000003E-2</v>
      </c>
      <c r="O60" s="92">
        <v>-0.12993979253124321</v>
      </c>
      <c r="P60" s="92">
        <v>1.1419015505590879E-2</v>
      </c>
      <c r="Q60" s="92">
        <v>-9.9338155725397503E-2</v>
      </c>
      <c r="R60" s="92">
        <v>-7.0997388270758299E-2</v>
      </c>
    </row>
    <row r="61" spans="1:18">
      <c r="A61" s="86">
        <v>1970</v>
      </c>
      <c r="B61" s="87">
        <v>3.5611449054964189E-2</v>
      </c>
      <c r="C61" s="87">
        <v>6.3916666666666663E-2</v>
      </c>
      <c r="D61" s="87">
        <v>0.16754737183412338</v>
      </c>
      <c r="E61" s="87">
        <v>5.6495676569888728E-2</v>
      </c>
      <c r="F61" s="88">
        <v>3510.4890625432981</v>
      </c>
      <c r="G61" s="88">
        <v>235.47076572822448</v>
      </c>
      <c r="H61" s="88">
        <v>318.40657993094021</v>
      </c>
      <c r="I61" s="88">
        <v>636.96053537721821</v>
      </c>
      <c r="J61" s="87">
        <v>-2.8305217611702474E-2</v>
      </c>
      <c r="K61" s="87">
        <v>-0.13193592277915919</v>
      </c>
      <c r="L61" s="89">
        <v>-2.0884227514924539E-2</v>
      </c>
      <c r="M61" s="89">
        <v>5.8972566666315007E-2</v>
      </c>
      <c r="N61" s="52">
        <v>5.83826E-2</v>
      </c>
      <c r="O61" s="92">
        <v>-2.1515046586211728E-2</v>
      </c>
      <c r="P61" s="92">
        <v>5.2287959634507164E-3</v>
      </c>
      <c r="Q61" s="92">
        <v>0.10314301447711194</v>
      </c>
      <c r="R61" s="92">
        <v>-1.7828367833251368E-3</v>
      </c>
    </row>
    <row r="62" spans="1:18">
      <c r="A62" s="86">
        <v>1971</v>
      </c>
      <c r="B62" s="87">
        <v>0.14221150298426474</v>
      </c>
      <c r="C62" s="87">
        <v>4.3324999999999995E-2</v>
      </c>
      <c r="D62" s="87">
        <v>9.7868966197122972E-2</v>
      </c>
      <c r="E62" s="87">
        <v>0.1400146617421994</v>
      </c>
      <c r="F62" s="88">
        <v>4009.720988337403</v>
      </c>
      <c r="G62" s="88">
        <v>245.67253665339982</v>
      </c>
      <c r="H62" s="88">
        <v>349.56870273914296</v>
      </c>
      <c r="I62" s="88">
        <v>726.14434928118965</v>
      </c>
      <c r="J62" s="87">
        <v>9.888650298426474E-2</v>
      </c>
      <c r="K62" s="87">
        <v>4.434253678714177E-2</v>
      </c>
      <c r="L62" s="89">
        <v>2.1968412420653449E-3</v>
      </c>
      <c r="M62" s="89">
        <v>5.8660636809878541E-2</v>
      </c>
      <c r="N62" s="52">
        <v>4.2927699999999999E-2</v>
      </c>
      <c r="O62" s="92">
        <v>9.5197205889022696E-2</v>
      </c>
      <c r="P62" s="92">
        <v>3.8094682881673059E-4</v>
      </c>
      <c r="Q62" s="92">
        <v>5.2679841754249335E-2</v>
      </c>
      <c r="R62" s="92">
        <v>9.3090788308910932E-2</v>
      </c>
    </row>
    <row r="63" spans="1:18">
      <c r="A63" s="86">
        <v>1972</v>
      </c>
      <c r="B63" s="87">
        <v>0.18755362915074925</v>
      </c>
      <c r="C63" s="87">
        <v>4.0724999999999997E-2</v>
      </c>
      <c r="D63" s="87">
        <v>2.818449050444969E-2</v>
      </c>
      <c r="E63" s="87">
        <v>0.11409093579389698</v>
      </c>
      <c r="F63" s="88">
        <v>4761.7587115820115</v>
      </c>
      <c r="G63" s="88">
        <v>255.67755070860949</v>
      </c>
      <c r="H63" s="88">
        <v>359.42111852214714</v>
      </c>
      <c r="I63" s="88">
        <v>808.99083761213103</v>
      </c>
      <c r="J63" s="87">
        <v>0.14682862915074923</v>
      </c>
      <c r="K63" s="87">
        <v>0.15936913864629956</v>
      </c>
      <c r="L63" s="89">
        <v>7.3462693356852266E-2</v>
      </c>
      <c r="M63" s="89">
        <v>6.0804303728189568E-2</v>
      </c>
      <c r="N63" s="52">
        <v>3.2722799999999996E-2</v>
      </c>
      <c r="O63" s="92">
        <v>0.14992486769029334</v>
      </c>
      <c r="P63" s="92">
        <v>7.7486427141919556E-3</v>
      </c>
      <c r="Q63" s="92">
        <v>-4.3945088609936844E-3</v>
      </c>
      <c r="R63" s="92">
        <v>7.8789909348275344E-2</v>
      </c>
    </row>
    <row r="64" spans="1:18">
      <c r="A64" s="86">
        <v>1973</v>
      </c>
      <c r="B64" s="87">
        <v>-0.14308047437526472</v>
      </c>
      <c r="C64" s="87">
        <v>7.0316666666666666E-2</v>
      </c>
      <c r="D64" s="87">
        <v>3.6586646024150085E-2</v>
      </c>
      <c r="E64" s="87">
        <v>4.3180404854323576E-2</v>
      </c>
      <c r="F64" s="88">
        <v>4080.4440162683081</v>
      </c>
      <c r="G64" s="88">
        <v>273.6559438159365</v>
      </c>
      <c r="H64" s="88">
        <v>372.57113175912104</v>
      </c>
      <c r="I64" s="88">
        <v>843.92338950366127</v>
      </c>
      <c r="J64" s="87">
        <v>-0.21339714104193139</v>
      </c>
      <c r="K64" s="87">
        <v>-0.17966712039941479</v>
      </c>
      <c r="L64" s="89">
        <v>-0.18626087922958828</v>
      </c>
      <c r="M64" s="89">
        <v>5.4960045718843054E-2</v>
      </c>
      <c r="N64" s="52">
        <v>6.1777600000000002E-2</v>
      </c>
      <c r="O64" s="92">
        <v>-0.19293877962321371</v>
      </c>
      <c r="P64" s="92">
        <v>8.0422365914165628E-3</v>
      </c>
      <c r="Q64" s="92">
        <v>-2.3725264100363352E-2</v>
      </c>
      <c r="R64" s="92">
        <v>-1.7515151144341767E-2</v>
      </c>
    </row>
    <row r="65" spans="1:18">
      <c r="A65" s="86">
        <v>1974</v>
      </c>
      <c r="B65" s="87">
        <v>-0.25901785750896972</v>
      </c>
      <c r="C65" s="87">
        <v>7.8299999999999995E-2</v>
      </c>
      <c r="D65" s="87">
        <v>1.9886086932378574E-2</v>
      </c>
      <c r="E65" s="87">
        <v>-4.3807197977191667E-2</v>
      </c>
      <c r="F65" s="88">
        <v>3023.5361494891954</v>
      </c>
      <c r="G65" s="88">
        <v>295.08320421672431</v>
      </c>
      <c r="H65" s="88">
        <v>379.98011367377757</v>
      </c>
      <c r="I65" s="88">
        <v>806.9534705020917</v>
      </c>
      <c r="J65" s="87">
        <v>-0.3373178575089697</v>
      </c>
      <c r="K65" s="87">
        <v>-0.27890394444134831</v>
      </c>
      <c r="L65" s="89">
        <v>-0.21521065953177804</v>
      </c>
      <c r="M65" s="89">
        <v>4.6417018581159875E-2</v>
      </c>
      <c r="N65" s="52">
        <v>0.11054800000000001</v>
      </c>
      <c r="O65" s="92">
        <v>-0.33277792360975822</v>
      </c>
      <c r="P65" s="92">
        <v>-2.90379164160397E-2</v>
      </c>
      <c r="Q65" s="92">
        <v>-8.1637095440828866E-2</v>
      </c>
      <c r="R65" s="92">
        <v>-0.13899011837146324</v>
      </c>
    </row>
    <row r="66" spans="1:18">
      <c r="A66" s="86">
        <v>1975</v>
      </c>
      <c r="B66" s="87">
        <v>0.36995137106184356</v>
      </c>
      <c r="C66" s="87">
        <v>5.7750000000000003E-2</v>
      </c>
      <c r="D66" s="87">
        <v>3.6052536026033838E-2</v>
      </c>
      <c r="E66" s="87">
        <v>0.11049964074144952</v>
      </c>
      <c r="F66" s="88">
        <v>4142.0974934477708</v>
      </c>
      <c r="G66" s="88">
        <v>312.12425926024014</v>
      </c>
      <c r="H66" s="88">
        <v>393.67936041117781</v>
      </c>
      <c r="I66" s="88">
        <v>896.12153908763878</v>
      </c>
      <c r="J66" s="87">
        <v>0.31220137106184354</v>
      </c>
      <c r="K66" s="87">
        <v>0.33389883503580975</v>
      </c>
      <c r="L66" s="89">
        <v>0.25945173032039404</v>
      </c>
      <c r="M66" s="89">
        <v>5.1706756781676244E-2</v>
      </c>
      <c r="N66" s="52">
        <v>9.1431499999999999E-2</v>
      </c>
      <c r="O66" s="92">
        <v>0.25518767880700111</v>
      </c>
      <c r="P66" s="92">
        <v>-3.0859930284218628E-2</v>
      </c>
      <c r="Q66" s="92">
        <v>-5.0739752310581476E-2</v>
      </c>
      <c r="R66" s="92">
        <v>1.7470762701506715E-2</v>
      </c>
    </row>
    <row r="67" spans="1:18">
      <c r="A67" s="86">
        <v>1976</v>
      </c>
      <c r="B67" s="87">
        <v>0.23830999002106662</v>
      </c>
      <c r="C67" s="87">
        <v>4.974166666666667E-2</v>
      </c>
      <c r="D67" s="87">
        <v>0.1598456074290921</v>
      </c>
      <c r="E67" s="87">
        <v>0.19752813987098014</v>
      </c>
      <c r="F67" s="88">
        <v>5129.2007057775936</v>
      </c>
      <c r="G67" s="88">
        <v>327.6498401229432</v>
      </c>
      <c r="H67" s="88">
        <v>456.607276908399</v>
      </c>
      <c r="I67" s="88">
        <v>1073.1307598019398</v>
      </c>
      <c r="J67" s="87">
        <v>0.18856832335439994</v>
      </c>
      <c r="K67" s="87">
        <v>7.8464382591974524E-2</v>
      </c>
      <c r="L67" s="89">
        <v>4.0781850150086479E-2</v>
      </c>
      <c r="M67" s="89">
        <v>5.2196588038950109E-2</v>
      </c>
      <c r="N67" s="52">
        <v>5.7448100000000002E-2</v>
      </c>
      <c r="O67" s="92">
        <v>0.17103618609846349</v>
      </c>
      <c r="P67" s="92">
        <v>-7.2877650764452406E-3</v>
      </c>
      <c r="Q67" s="92">
        <v>9.6834546706445535E-2</v>
      </c>
      <c r="R67" s="92">
        <v>0.13246989603648629</v>
      </c>
    </row>
    <row r="68" spans="1:18">
      <c r="A68" s="86">
        <v>1977</v>
      </c>
      <c r="B68" s="87">
        <v>-6.9797040759352322E-2</v>
      </c>
      <c r="C68" s="87">
        <v>5.2691666666666671E-2</v>
      </c>
      <c r="D68" s="87">
        <v>1.2899606071070449E-2</v>
      </c>
      <c r="E68" s="87">
        <v>9.9546628520906386E-2</v>
      </c>
      <c r="F68" s="88">
        <v>4771.1976750535359</v>
      </c>
      <c r="G68" s="88">
        <v>344.91425628208793</v>
      </c>
      <c r="H68" s="88">
        <v>462.49733090970153</v>
      </c>
      <c r="I68" s="88">
        <v>1179.9573089023015</v>
      </c>
      <c r="J68" s="87">
        <v>-0.122488707426019</v>
      </c>
      <c r="K68" s="87">
        <v>-8.2696646830422771E-2</v>
      </c>
      <c r="L68" s="89">
        <v>-0.16934366928025871</v>
      </c>
      <c r="M68" s="89">
        <v>4.9266761357046551E-2</v>
      </c>
      <c r="N68" s="52">
        <v>6.50168E-2</v>
      </c>
      <c r="O68" s="92">
        <v>-0.12658376915683611</v>
      </c>
      <c r="P68" s="92">
        <v>-1.1572712593203582E-2</v>
      </c>
      <c r="Q68" s="92">
        <v>-4.8935560386399124E-2</v>
      </c>
      <c r="R68" s="92">
        <v>3.2421862754565378E-2</v>
      </c>
    </row>
    <row r="69" spans="1:18">
      <c r="A69" s="86">
        <v>1978</v>
      </c>
      <c r="B69" s="87">
        <v>6.50928391167193E-2</v>
      </c>
      <c r="C69" s="87">
        <v>7.1883333333333341E-2</v>
      </c>
      <c r="D69" s="87">
        <v>-7.7758069075086478E-3</v>
      </c>
      <c r="E69" s="87">
        <v>3.1375849771690861E-2</v>
      </c>
      <c r="F69" s="88">
        <v>5081.7684777098611</v>
      </c>
      <c r="G69" s="88">
        <v>369.70784273783198</v>
      </c>
      <c r="H69" s="88">
        <v>458.90104096930958</v>
      </c>
      <c r="I69" s="88">
        <v>1216.9794721634289</v>
      </c>
      <c r="J69" s="87">
        <v>-6.7904942166140403E-3</v>
      </c>
      <c r="K69" s="87">
        <v>7.2868646024227948E-2</v>
      </c>
      <c r="L69" s="89">
        <v>3.3716989345028439E-2</v>
      </c>
      <c r="M69" s="89">
        <v>4.9741898913203242E-2</v>
      </c>
      <c r="N69" s="52">
        <v>7.6309600000000005E-2</v>
      </c>
      <c r="O69" s="92">
        <v>-1.0421500359451108E-2</v>
      </c>
      <c r="P69" s="92">
        <v>-4.1124474469677041E-3</v>
      </c>
      <c r="Q69" s="92">
        <v>-7.8123810200623311E-2</v>
      </c>
      <c r="R69" s="92">
        <v>-4.1747978674824715E-2</v>
      </c>
    </row>
    <row r="70" spans="1:18">
      <c r="A70" s="86">
        <v>1979</v>
      </c>
      <c r="B70" s="87">
        <v>0.18519490167516386</v>
      </c>
      <c r="C70" s="87">
        <v>0.10069166666666667</v>
      </c>
      <c r="D70" s="87">
        <v>6.7072031247235459E-3</v>
      </c>
      <c r="E70" s="87">
        <v>-2.0091101436615355E-2</v>
      </c>
      <c r="F70" s="88">
        <v>6022.8860912752862</v>
      </c>
      <c r="G70" s="88">
        <v>406.93434160284215</v>
      </c>
      <c r="H70" s="88">
        <v>461.97898346523777</v>
      </c>
      <c r="I70" s="88">
        <v>1192.5290141419148</v>
      </c>
      <c r="J70" s="87">
        <v>8.4503235008497199E-2</v>
      </c>
      <c r="K70" s="87">
        <v>0.17848769855044033</v>
      </c>
      <c r="L70" s="89">
        <v>0.20528600311177922</v>
      </c>
      <c r="M70" s="89">
        <v>5.2132252828986925E-2</v>
      </c>
      <c r="N70" s="52">
        <v>0.1125447</v>
      </c>
      <c r="O70" s="92">
        <v>6.5300928290938698E-2</v>
      </c>
      <c r="P70" s="92">
        <v>-1.0653983910339337E-2</v>
      </c>
      <c r="Q70" s="92">
        <v>-9.5131006309478128E-2</v>
      </c>
      <c r="R70" s="92">
        <v>-0.1192184021339685</v>
      </c>
    </row>
    <row r="71" spans="1:18">
      <c r="A71" s="86">
        <v>1980</v>
      </c>
      <c r="B71" s="87">
        <v>0.3173524550676301</v>
      </c>
      <c r="C71" s="87">
        <v>0.11434166666666666</v>
      </c>
      <c r="D71" s="87">
        <v>-2.989744251999403E-2</v>
      </c>
      <c r="E71" s="87">
        <v>-3.3156783371910456E-2</v>
      </c>
      <c r="F71" s="88">
        <v>7934.2637789341807</v>
      </c>
      <c r="G71" s="88">
        <v>453.46389244561374</v>
      </c>
      <c r="H71" s="88">
        <v>448.16699336164055</v>
      </c>
      <c r="I71" s="88">
        <v>1152.9885879552935</v>
      </c>
      <c r="J71" s="87">
        <v>0.20301078840096343</v>
      </c>
      <c r="K71" s="87">
        <v>0.34724989758762415</v>
      </c>
      <c r="L71" s="89">
        <v>0.35050923843954057</v>
      </c>
      <c r="M71" s="89">
        <v>5.7318705257589642E-2</v>
      </c>
      <c r="N71" s="52">
        <v>0.135492</v>
      </c>
      <c r="O71" s="92">
        <v>0.16016004962397812</v>
      </c>
      <c r="P71" s="92">
        <v>-1.8626580665767278E-2</v>
      </c>
      <c r="Q71" s="92">
        <v>-0.14565443219326424</v>
      </c>
      <c r="R71" s="92">
        <v>-0.14852485387119452</v>
      </c>
    </row>
    <row r="72" spans="1:18">
      <c r="A72" s="86">
        <v>1981</v>
      </c>
      <c r="B72" s="87">
        <v>-4.7023902474955762E-2</v>
      </c>
      <c r="C72" s="87">
        <v>0.14025000000000001</v>
      </c>
      <c r="D72" s="87">
        <v>8.1992153358923542E-2</v>
      </c>
      <c r="E72" s="87">
        <v>8.4623994808912056E-2</v>
      </c>
      <c r="F72" s="88">
        <v>7561.1637327830058</v>
      </c>
      <c r="G72" s="88">
        <v>517.06220336111107</v>
      </c>
      <c r="H72" s="88">
        <v>484.91317021175587</v>
      </c>
      <c r="I72" s="88">
        <v>1250.5590882371571</v>
      </c>
      <c r="J72" s="87">
        <v>-0.18727390247495579</v>
      </c>
      <c r="K72" s="87">
        <v>-0.12901605583387932</v>
      </c>
      <c r="L72" s="89">
        <v>-0.13164789728386783</v>
      </c>
      <c r="M72" s="89">
        <v>5.3730990468644491E-2</v>
      </c>
      <c r="N72" s="52">
        <v>0.10334720000000001</v>
      </c>
      <c r="O72" s="92">
        <v>-0.13628629544259119</v>
      </c>
      <c r="P72" s="92">
        <v>3.3446226174317584E-2</v>
      </c>
      <c r="Q72" s="92">
        <v>-1.9354783916682217E-2</v>
      </c>
      <c r="R72" s="92">
        <v>-1.6969459106877638E-2</v>
      </c>
    </row>
    <row r="73" spans="1:18">
      <c r="A73" s="86">
        <v>1982</v>
      </c>
      <c r="B73" s="87">
        <v>0.20419055079559353</v>
      </c>
      <c r="C73" s="87">
        <v>0.10614166666666666</v>
      </c>
      <c r="D73" s="87">
        <v>0.32814549486295586</v>
      </c>
      <c r="E73" s="87">
        <v>0.2905245565590866</v>
      </c>
      <c r="F73" s="88">
        <v>9105.0819200356327</v>
      </c>
      <c r="G73" s="88">
        <v>571.94404739619824</v>
      </c>
      <c r="H73" s="88">
        <v>644.03524241645721</v>
      </c>
      <c r="I73" s="88">
        <v>1613.8772127981929</v>
      </c>
      <c r="J73" s="87">
        <v>9.8048884128926872E-2</v>
      </c>
      <c r="K73" s="87">
        <v>-0.12395494406736232</v>
      </c>
      <c r="L73" s="89">
        <v>-8.6334005763493066E-2</v>
      </c>
      <c r="M73" s="89">
        <v>5.1038688692139678E-2</v>
      </c>
      <c r="N73" s="52">
        <v>6.1314300000000002E-2</v>
      </c>
      <c r="O73" s="92">
        <v>0.13462199726847501</v>
      </c>
      <c r="P73" s="92">
        <v>4.2237597916721326E-2</v>
      </c>
      <c r="Q73" s="92">
        <v>0.25141581043707384</v>
      </c>
      <c r="R73" s="92">
        <v>0.21596831076250123</v>
      </c>
    </row>
    <row r="74" spans="1:18">
      <c r="A74" s="86">
        <v>1983</v>
      </c>
      <c r="B74" s="87">
        <v>0.22337155858930619</v>
      </c>
      <c r="C74" s="87">
        <v>8.6108333333333342E-2</v>
      </c>
      <c r="D74" s="87">
        <v>3.2002094451429264E-2</v>
      </c>
      <c r="E74" s="87">
        <v>0.16194289622798366</v>
      </c>
      <c r="F74" s="88">
        <v>11138.898259597305</v>
      </c>
      <c r="G74" s="88">
        <v>621.19319607740579</v>
      </c>
      <c r="H74" s="88">
        <v>664.64571907431775</v>
      </c>
      <c r="I74" s="88">
        <v>1875.233162795078</v>
      </c>
      <c r="J74" s="87">
        <v>0.13726322525597284</v>
      </c>
      <c r="K74" s="87">
        <v>0.19136946413787692</v>
      </c>
      <c r="L74" s="89">
        <v>6.1428662361322522E-2</v>
      </c>
      <c r="M74" s="89">
        <v>5.3402830654563971E-2</v>
      </c>
      <c r="N74" s="52">
        <v>3.2124399999999997E-2</v>
      </c>
      <c r="O74" s="92">
        <v>0.18529467822803736</v>
      </c>
      <c r="P74" s="92">
        <v>5.2303708093068169E-2</v>
      </c>
      <c r="Q74" s="92">
        <v>-1.1849884429715463E-4</v>
      </c>
      <c r="R74" s="92">
        <v>0.1257779548937934</v>
      </c>
    </row>
    <row r="75" spans="1:18">
      <c r="A75" s="86">
        <v>1984</v>
      </c>
      <c r="B75" s="87">
        <v>6.14614199963621E-2</v>
      </c>
      <c r="C75" s="87">
        <v>9.5225000000000004E-2</v>
      </c>
      <c r="D75" s="87">
        <v>0.13733364344102345</v>
      </c>
      <c r="E75" s="87">
        <v>0.15619207332454216</v>
      </c>
      <c r="F75" s="88">
        <v>11823.510763827162</v>
      </c>
      <c r="G75" s="88">
        <v>680.34631817387685</v>
      </c>
      <c r="H75" s="88">
        <v>755.92393727227272</v>
      </c>
      <c r="I75" s="88">
        <v>2168.1297184589798</v>
      </c>
      <c r="J75" s="87">
        <v>-3.3763580003637904E-2</v>
      </c>
      <c r="K75" s="87">
        <v>-7.5872223444661352E-2</v>
      </c>
      <c r="L75" s="89">
        <v>-9.4730653328180064E-2</v>
      </c>
      <c r="M75" s="89">
        <v>5.1212126318051387E-2</v>
      </c>
      <c r="N75" s="52">
        <v>4.3005399999999999E-2</v>
      </c>
      <c r="O75" s="92">
        <v>1.7695037817025749E-2</v>
      </c>
      <c r="P75" s="92">
        <v>5.006647137205622E-2</v>
      </c>
      <c r="Q75" s="92">
        <v>9.0438883097847311E-2</v>
      </c>
      <c r="R75" s="92">
        <v>0.10851973855987906</v>
      </c>
    </row>
    <row r="76" spans="1:18">
      <c r="A76" s="86">
        <v>1985</v>
      </c>
      <c r="B76" s="87">
        <v>0.31235149485768948</v>
      </c>
      <c r="C76" s="87">
        <v>7.4791666666666673E-2</v>
      </c>
      <c r="D76" s="87">
        <v>0.2571248821260641</v>
      </c>
      <c r="E76" s="87">
        <v>0.23862641849916477</v>
      </c>
      <c r="F76" s="88">
        <v>15516.602025374559</v>
      </c>
      <c r="G76" s="88">
        <v>731.23055322063135</v>
      </c>
      <c r="H76" s="88">
        <v>950.2907905396761</v>
      </c>
      <c r="I76" s="88">
        <v>2685.5027480164485</v>
      </c>
      <c r="J76" s="87">
        <v>0.23755982819102281</v>
      </c>
      <c r="K76" s="87">
        <v>5.522661273162538E-2</v>
      </c>
      <c r="L76" s="89">
        <v>7.372507635852471E-2</v>
      </c>
      <c r="M76" s="89">
        <v>5.1284365102581608E-2</v>
      </c>
      <c r="N76" s="52">
        <v>3.5456399999999999E-2</v>
      </c>
      <c r="O76" s="92">
        <v>0.26741357227372364</v>
      </c>
      <c r="P76" s="92">
        <v>3.7988336994842609E-2</v>
      </c>
      <c r="Q76" s="92">
        <v>0.21407804531998087</v>
      </c>
      <c r="R76" s="92">
        <v>0.19621301147896197</v>
      </c>
    </row>
    <row r="77" spans="1:18">
      <c r="A77" s="86">
        <v>1986</v>
      </c>
      <c r="B77" s="87">
        <v>0.18494578758046187</v>
      </c>
      <c r="C77" s="87">
        <v>5.9783333333333334E-2</v>
      </c>
      <c r="D77" s="87">
        <v>0.24284215141767618</v>
      </c>
      <c r="E77" s="87">
        <v>0.21485515309759495</v>
      </c>
      <c r="F77" s="88">
        <v>18386.332207530046</v>
      </c>
      <c r="G77" s="88">
        <v>774.94595312733804</v>
      </c>
      <c r="H77" s="88">
        <v>1181.0614505867354</v>
      </c>
      <c r="I77" s="88">
        <v>3262.496852085535</v>
      </c>
      <c r="J77" s="87">
        <v>0.12516245424712855</v>
      </c>
      <c r="K77" s="87">
        <v>-5.7896363837214304E-2</v>
      </c>
      <c r="L77" s="89">
        <v>-2.990936551713308E-2</v>
      </c>
      <c r="M77" s="89">
        <v>4.9663565599739057E-2</v>
      </c>
      <c r="N77" s="52">
        <v>1.8980500000000001E-2</v>
      </c>
      <c r="O77" s="92">
        <v>0.16287386027550266</v>
      </c>
      <c r="P77" s="92">
        <v>4.0042800949903645E-2</v>
      </c>
      <c r="Q77" s="92">
        <v>0.21969179137154837</v>
      </c>
      <c r="R77" s="92">
        <v>0.19222610550211217</v>
      </c>
    </row>
    <row r="78" spans="1:18">
      <c r="A78" s="86">
        <v>1987</v>
      </c>
      <c r="B78" s="87">
        <v>5.8127216418218712E-2</v>
      </c>
      <c r="C78" s="87">
        <v>5.7750000000000003E-2</v>
      </c>
      <c r="D78" s="87">
        <v>-4.9605089379262279E-2</v>
      </c>
      <c r="E78" s="87">
        <v>2.289846084276681E-2</v>
      </c>
      <c r="F78" s="88">
        <v>19455.07851889441</v>
      </c>
      <c r="G78" s="88">
        <v>819.69908192044181</v>
      </c>
      <c r="H78" s="88">
        <v>1122.4747917679792</v>
      </c>
      <c r="I78" s="88">
        <v>3337.2030085026654</v>
      </c>
      <c r="J78" s="87">
        <v>3.7721641821870933E-4</v>
      </c>
      <c r="K78" s="87">
        <v>0.107732305797481</v>
      </c>
      <c r="L78" s="89">
        <v>3.5228755575451902E-2</v>
      </c>
      <c r="M78" s="89">
        <v>5.0693590437507208E-2</v>
      </c>
      <c r="N78" s="52">
        <v>3.66456E-2</v>
      </c>
      <c r="O78" s="92">
        <v>2.072223758844749E-2</v>
      </c>
      <c r="P78" s="92">
        <v>2.0358355835398356E-2</v>
      </c>
      <c r="Q78" s="92">
        <v>-8.3201712696472474E-2</v>
      </c>
      <c r="R78" s="92">
        <v>-1.3261175427005334E-2</v>
      </c>
    </row>
    <row r="79" spans="1:18">
      <c r="A79" s="86">
        <v>1988</v>
      </c>
      <c r="B79" s="87">
        <v>0.16537192812044688</v>
      </c>
      <c r="C79" s="87">
        <v>6.6674999999999998E-2</v>
      </c>
      <c r="D79" s="87">
        <v>8.2235958434841674E-2</v>
      </c>
      <c r="E79" s="87">
        <v>0.15115070067120029</v>
      </c>
      <c r="F79" s="88">
        <v>22672.402365298665</v>
      </c>
      <c r="G79" s="88">
        <v>874.35251820748726</v>
      </c>
      <c r="H79" s="88">
        <v>1214.7825820879684</v>
      </c>
      <c r="I79" s="88">
        <v>3841.6235815198806</v>
      </c>
      <c r="J79" s="87">
        <v>9.8696928120446878E-2</v>
      </c>
      <c r="K79" s="87">
        <v>8.3135969685605202E-2</v>
      </c>
      <c r="L79" s="89">
        <v>1.4221227449246587E-2</v>
      </c>
      <c r="M79" s="89">
        <v>5.1199933578993884E-2</v>
      </c>
      <c r="N79" s="52">
        <v>4.0777400000000005E-2</v>
      </c>
      <c r="O79" s="92">
        <v>0.11971294545831501</v>
      </c>
      <c r="P79" s="92">
        <v>2.4882938465035753E-2</v>
      </c>
      <c r="Q79" s="92">
        <v>3.9834222413785758E-2</v>
      </c>
      <c r="R79" s="92">
        <v>0.10604890216793739</v>
      </c>
    </row>
    <row r="80" spans="1:18">
      <c r="A80" s="86">
        <v>1989</v>
      </c>
      <c r="B80" s="87">
        <v>0.31475183638196724</v>
      </c>
      <c r="C80" s="87">
        <v>8.111666666666667E-2</v>
      </c>
      <c r="D80" s="87">
        <v>0.17693647159446219</v>
      </c>
      <c r="E80" s="87">
        <v>0.15789666531437313</v>
      </c>
      <c r="F80" s="88">
        <v>29808.582644967279</v>
      </c>
      <c r="G80" s="88">
        <v>945.27707997608468</v>
      </c>
      <c r="H80" s="88">
        <v>1429.7219259170236</v>
      </c>
      <c r="I80" s="88">
        <v>4448.2031344349289</v>
      </c>
      <c r="J80" s="87">
        <v>0.23363516971530057</v>
      </c>
      <c r="K80" s="87">
        <v>0.13781536478750506</v>
      </c>
      <c r="L80" s="89">
        <v>0.15685517106759411</v>
      </c>
      <c r="M80" s="89">
        <v>5.240982169336883E-2</v>
      </c>
      <c r="N80" s="52">
        <v>4.827E-2</v>
      </c>
      <c r="O80" s="92">
        <v>0.25421106812363914</v>
      </c>
      <c r="P80" s="92">
        <v>3.1334166452027246E-2</v>
      </c>
      <c r="Q80" s="92">
        <v>0.12274172836622443</v>
      </c>
      <c r="R80" s="92">
        <v>0.10457865370026154</v>
      </c>
    </row>
    <row r="81" spans="1:18">
      <c r="A81" s="86">
        <v>1990</v>
      </c>
      <c r="B81" s="87">
        <v>-3.0644516129032118E-2</v>
      </c>
      <c r="C81" s="87">
        <v>7.4933333333333338E-2</v>
      </c>
      <c r="D81" s="87">
        <v>6.2353753335533363E-2</v>
      </c>
      <c r="E81" s="87">
        <v>6.1400628860817041E-2</v>
      </c>
      <c r="F81" s="88">
        <v>28895.113053319994</v>
      </c>
      <c r="G81" s="88">
        <v>1016.1098425022926</v>
      </c>
      <c r="H81" s="88">
        <v>1518.8704542240573</v>
      </c>
      <c r="I81" s="88">
        <v>4721.3256041898912</v>
      </c>
      <c r="J81" s="87">
        <v>-0.10557784946236545</v>
      </c>
      <c r="K81" s="87">
        <v>-9.2998269464565478E-2</v>
      </c>
      <c r="L81" s="89">
        <v>-9.2045144989849156E-2</v>
      </c>
      <c r="M81" s="89">
        <v>4.9979953137364364E-2</v>
      </c>
      <c r="N81" s="52">
        <v>5.3979600000000003E-2</v>
      </c>
      <c r="O81" s="92">
        <v>-8.0290089228512551E-2</v>
      </c>
      <c r="P81" s="92">
        <v>1.9880587189100574E-2</v>
      </c>
      <c r="Q81" s="92">
        <v>7.945270796069881E-3</v>
      </c>
      <c r="R81" s="92">
        <v>7.0409606227834765E-3</v>
      </c>
    </row>
    <row r="82" spans="1:18">
      <c r="A82" s="86">
        <v>1991</v>
      </c>
      <c r="B82" s="87">
        <v>0.30234843134879757</v>
      </c>
      <c r="C82" s="87">
        <v>5.3749999999999999E-2</v>
      </c>
      <c r="D82" s="87">
        <v>0.15004510019517303</v>
      </c>
      <c r="E82" s="87">
        <v>0.17853487146763175</v>
      </c>
      <c r="F82" s="88">
        <v>37631.505158637461</v>
      </c>
      <c r="G82" s="88">
        <v>1070.7257465367909</v>
      </c>
      <c r="H82" s="88">
        <v>1746.769523711594</v>
      </c>
      <c r="I82" s="88">
        <v>5564.2468640907728</v>
      </c>
      <c r="J82" s="87">
        <v>0.24859843134879758</v>
      </c>
      <c r="K82" s="87">
        <v>0.15230333115362454</v>
      </c>
      <c r="L82" s="89">
        <v>0.12381355988116582</v>
      </c>
      <c r="M82" s="89">
        <v>5.13850639844049E-2</v>
      </c>
      <c r="N82" s="52">
        <v>4.2349600000000001E-2</v>
      </c>
      <c r="O82" s="92">
        <v>0.24943534429216219</v>
      </c>
      <c r="P82" s="92">
        <v>1.0937213387907319E-2</v>
      </c>
      <c r="Q82" s="92">
        <v>0.1033199419802846</v>
      </c>
      <c r="R82" s="92">
        <v>0.1306522029342474</v>
      </c>
    </row>
    <row r="83" spans="1:18">
      <c r="A83" s="86">
        <v>1992</v>
      </c>
      <c r="B83" s="87">
        <v>7.493727972380064E-2</v>
      </c>
      <c r="C83" s="87">
        <v>3.4316666666666669E-2</v>
      </c>
      <c r="D83" s="87">
        <v>9.3616373162079422E-2</v>
      </c>
      <c r="E83" s="87">
        <v>0.12172255869896652</v>
      </c>
      <c r="F83" s="88">
        <v>40451.507787137925</v>
      </c>
      <c r="G83" s="88">
        <v>1107.4694850721119</v>
      </c>
      <c r="H83" s="88">
        <v>1910.2957512715263</v>
      </c>
      <c r="I83" s="88">
        <v>6241.5412296206023</v>
      </c>
      <c r="J83" s="87">
        <v>4.0620613057133971E-2</v>
      </c>
      <c r="K83" s="87">
        <v>-1.8679093438278782E-2</v>
      </c>
      <c r="L83" s="89">
        <v>-4.6785278975165878E-2</v>
      </c>
      <c r="M83" s="89">
        <v>5.0319857010869606E-2</v>
      </c>
      <c r="N83" s="52">
        <v>3.0288200000000001E-2</v>
      </c>
      <c r="O83" s="92">
        <v>4.3336495287241483E-2</v>
      </c>
      <c r="P83" s="92">
        <v>3.9100386344974591E-3</v>
      </c>
      <c r="Q83" s="92">
        <v>6.1466464589305492E-2</v>
      </c>
      <c r="R83" s="92">
        <v>8.8746390280861842E-2</v>
      </c>
    </row>
    <row r="84" spans="1:18">
      <c r="A84" s="86">
        <v>1993</v>
      </c>
      <c r="B84" s="87">
        <v>9.96705147919488E-2</v>
      </c>
      <c r="C84" s="87">
        <v>2.9975000000000002E-2</v>
      </c>
      <c r="D84" s="87">
        <v>0.14210957589263107</v>
      </c>
      <c r="E84" s="87">
        <v>0.16431517219561104</v>
      </c>
      <c r="F84" s="88">
        <v>44483.33039239249</v>
      </c>
      <c r="G84" s="88">
        <v>1140.6658828871484</v>
      </c>
      <c r="H84" s="88">
        <v>2181.7670703142176</v>
      </c>
      <c r="I84" s="88">
        <v>7267.1211515317182</v>
      </c>
      <c r="J84" s="87">
        <v>6.9695514791948798E-2</v>
      </c>
      <c r="K84" s="87">
        <v>-4.2439061100682268E-2</v>
      </c>
      <c r="L84" s="89">
        <v>-6.4644657403662237E-2</v>
      </c>
      <c r="M84" s="89">
        <v>4.8975937931758473E-2</v>
      </c>
      <c r="N84" s="52">
        <v>2.95166E-2</v>
      </c>
      <c r="O84" s="92">
        <v>6.8142577586363107E-2</v>
      </c>
      <c r="P84" s="92">
        <v>4.4525751211788034E-4</v>
      </c>
      <c r="Q84" s="92">
        <v>0.10936489600326116</v>
      </c>
      <c r="R84" s="92">
        <v>0.1309338501152979</v>
      </c>
    </row>
    <row r="85" spans="1:18">
      <c r="A85" s="86">
        <v>1994</v>
      </c>
      <c r="B85" s="87">
        <v>1.3259206774573897E-2</v>
      </c>
      <c r="C85" s="87">
        <v>4.2466666666666673E-2</v>
      </c>
      <c r="D85" s="87">
        <v>-8.0366555509985921E-2</v>
      </c>
      <c r="E85" s="87">
        <v>-1.3192033475710699E-2</v>
      </c>
      <c r="F85" s="88">
        <v>45073.144068086905</v>
      </c>
      <c r="G85" s="88">
        <v>1189.106160713756</v>
      </c>
      <c r="H85" s="88">
        <v>2006.4259659479505</v>
      </c>
      <c r="I85" s="88">
        <v>7171.2530460286662</v>
      </c>
      <c r="J85" s="87">
        <v>-2.9207459892092776E-2</v>
      </c>
      <c r="K85" s="87">
        <v>9.3625762284559821E-2</v>
      </c>
      <c r="L85" s="89">
        <v>2.6451240250284596E-2</v>
      </c>
      <c r="M85" s="89">
        <v>4.9718636171719899E-2</v>
      </c>
      <c r="N85" s="52">
        <v>2.6074400000000001E-2</v>
      </c>
      <c r="O85" s="92">
        <v>-1.2489536066221052E-2</v>
      </c>
      <c r="P85" s="92">
        <v>1.5975709623655687E-2</v>
      </c>
      <c r="Q85" s="92">
        <v>-0.10373609897097702</v>
      </c>
      <c r="R85" s="92">
        <v>-3.8268602623465431E-2</v>
      </c>
    </row>
    <row r="86" spans="1:18">
      <c r="A86" s="86">
        <v>1995</v>
      </c>
      <c r="B86" s="87">
        <v>0.37195198902606308</v>
      </c>
      <c r="C86" s="87">
        <v>5.4900000000000004E-2</v>
      </c>
      <c r="D86" s="87">
        <v>0.23480780112538907</v>
      </c>
      <c r="E86" s="87">
        <v>0.20156218170640219</v>
      </c>
      <c r="F86" s="88">
        <v>61838.189655870119</v>
      </c>
      <c r="G86" s="88">
        <v>1254.3880889369411</v>
      </c>
      <c r="H86" s="88">
        <v>2477.5504351330737</v>
      </c>
      <c r="I86" s="88">
        <v>8616.7064555548859</v>
      </c>
      <c r="J86" s="87">
        <v>0.31705198902606307</v>
      </c>
      <c r="K86" s="87">
        <v>0.13714418790067401</v>
      </c>
      <c r="L86" s="89">
        <v>0.17038980731966089</v>
      </c>
      <c r="M86" s="89">
        <v>5.0791451119413633E-2</v>
      </c>
      <c r="N86" s="52">
        <v>2.8054199999999998E-2</v>
      </c>
      <c r="O86" s="92">
        <v>0.33451328638710209</v>
      </c>
      <c r="P86" s="92">
        <v>2.6113214653468608E-2</v>
      </c>
      <c r="Q86" s="92">
        <v>0.20111157672950442</v>
      </c>
      <c r="R86" s="92">
        <v>0.16877318501923555</v>
      </c>
    </row>
    <row r="87" spans="1:18">
      <c r="A87" s="86">
        <v>1996</v>
      </c>
      <c r="B87" s="87">
        <v>0.22680966018865789</v>
      </c>
      <c r="C87" s="87">
        <v>5.0058333333333337E-2</v>
      </c>
      <c r="D87" s="87">
        <v>1.428607793401844E-2</v>
      </c>
      <c r="E87" s="87">
        <v>4.79259941944115E-2</v>
      </c>
      <c r="F87" s="88">
        <v>75863.688438399797</v>
      </c>
      <c r="G87" s="88">
        <v>1317.1806660223094</v>
      </c>
      <c r="H87" s="88">
        <v>2512.9449137348461</v>
      </c>
      <c r="I87" s="88">
        <v>9029.6706791187571</v>
      </c>
      <c r="J87" s="87">
        <v>0.17675132685532455</v>
      </c>
      <c r="K87" s="87">
        <v>0.21252358225463946</v>
      </c>
      <c r="L87" s="89">
        <v>0.17888366599424638</v>
      </c>
      <c r="M87" s="89">
        <v>5.304503967737495E-2</v>
      </c>
      <c r="N87" s="52">
        <v>2.9312000000000001E-2</v>
      </c>
      <c r="O87" s="92">
        <v>0.19187346517737836</v>
      </c>
      <c r="P87" s="92">
        <v>2.0155534311592005E-2</v>
      </c>
      <c r="Q87" s="92">
        <v>-1.459802476409644E-2</v>
      </c>
      <c r="R87" s="92">
        <v>1.8083918378889452E-2</v>
      </c>
    </row>
    <row r="88" spans="1:18">
      <c r="A88" s="86">
        <v>1997</v>
      </c>
      <c r="B88" s="87">
        <v>0.33103653103653097</v>
      </c>
      <c r="C88" s="87">
        <v>5.0608333333333332E-2</v>
      </c>
      <c r="D88" s="87">
        <v>9.939130272977531E-2</v>
      </c>
      <c r="E88" s="87">
        <v>0.11834887244426365</v>
      </c>
      <c r="F88" s="88">
        <v>100977.34069068384</v>
      </c>
      <c r="G88" s="88">
        <v>1383.8409842285885</v>
      </c>
      <c r="H88" s="88">
        <v>2762.7097823991153</v>
      </c>
      <c r="I88" s="88">
        <v>10098.322022535491</v>
      </c>
      <c r="J88" s="87">
        <v>0.28042819770319766</v>
      </c>
      <c r="K88" s="87">
        <v>0.23164522830675566</v>
      </c>
      <c r="L88" s="89">
        <v>0.21268765859226732</v>
      </c>
      <c r="M88" s="89">
        <v>5.5315584903303572E-2</v>
      </c>
      <c r="N88" s="52">
        <v>2.3376899999999999E-2</v>
      </c>
      <c r="O88" s="92">
        <v>0.30063179170502186</v>
      </c>
      <c r="P88" s="92">
        <v>2.660938832343529E-2</v>
      </c>
      <c r="Q88" s="92">
        <v>7.4278013046586544E-2</v>
      </c>
      <c r="R88" s="92">
        <v>9.2802536821247061E-2</v>
      </c>
    </row>
    <row r="89" spans="1:18">
      <c r="A89" s="86">
        <v>1998</v>
      </c>
      <c r="B89" s="87">
        <v>0.28337953278443584</v>
      </c>
      <c r="C89" s="87">
        <v>4.7766666666666666E-2</v>
      </c>
      <c r="D89" s="87">
        <v>0.14921431922606215</v>
      </c>
      <c r="E89" s="87">
        <v>7.9454561327070808E-2</v>
      </c>
      <c r="F89" s="88">
        <v>129592.25231742462</v>
      </c>
      <c r="G89" s="88">
        <v>1449.9424552419075</v>
      </c>
      <c r="H89" s="88">
        <v>3174.9456417989818</v>
      </c>
      <c r="I89" s="88">
        <v>10900.679768975546</v>
      </c>
      <c r="J89" s="87">
        <v>0.23561286611776916</v>
      </c>
      <c r="K89" s="87">
        <v>0.13416521355837369</v>
      </c>
      <c r="L89" s="89">
        <v>0.20392497145736505</v>
      </c>
      <c r="M89" s="89">
        <v>5.6306048135548625E-2</v>
      </c>
      <c r="N89" s="52">
        <v>1.5522800000000002E-2</v>
      </c>
      <c r="O89" s="92">
        <v>0.26376240177417554</v>
      </c>
      <c r="P89" s="92">
        <v>3.1751002209567947E-2</v>
      </c>
      <c r="Q89" s="92">
        <v>0.13164797405441031</v>
      </c>
      <c r="R89" s="92">
        <v>6.2954530737341141E-2</v>
      </c>
    </row>
    <row r="90" spans="1:18">
      <c r="A90" s="86">
        <v>1999</v>
      </c>
      <c r="B90" s="87">
        <v>0.20885350992084475</v>
      </c>
      <c r="C90" s="87">
        <v>4.6383333333333339E-2</v>
      </c>
      <c r="D90" s="87">
        <v>-8.2542147962685761E-2</v>
      </c>
      <c r="E90" s="87">
        <v>8.4316347548218651E-3</v>
      </c>
      <c r="F90" s="88">
        <v>156658.0490724665</v>
      </c>
      <c r="G90" s="88">
        <v>1517.1956194575448</v>
      </c>
      <c r="H90" s="88">
        <v>2912.8788088601259</v>
      </c>
      <c r="I90" s="88">
        <v>10992.590319366824</v>
      </c>
      <c r="J90" s="87">
        <v>0.16247017658751142</v>
      </c>
      <c r="K90" s="87">
        <v>0.2913956578835305</v>
      </c>
      <c r="L90" s="89">
        <v>0.20042187516602289</v>
      </c>
      <c r="M90" s="89">
        <v>5.9634694818320177E-2</v>
      </c>
      <c r="N90" s="52">
        <v>2.1880299999999998E-2</v>
      </c>
      <c r="O90" s="92">
        <v>0.18296977632394396</v>
      </c>
      <c r="P90" s="92">
        <v>2.3978379202860944E-2</v>
      </c>
      <c r="Q90" s="92">
        <v>-0.1021865750447345</v>
      </c>
      <c r="R90" s="92">
        <v>-1.3160705070034306E-2</v>
      </c>
    </row>
    <row r="91" spans="1:18">
      <c r="A91" s="86">
        <v>2000</v>
      </c>
      <c r="B91" s="87">
        <v>-9.0318189552492781E-2</v>
      </c>
      <c r="C91" s="87">
        <v>5.8166666666666665E-2</v>
      </c>
      <c r="D91" s="87">
        <v>0.16655267125397488</v>
      </c>
      <c r="E91" s="87">
        <v>9.3296855210372037E-2</v>
      </c>
      <c r="F91" s="88">
        <v>142508.97770141574</v>
      </c>
      <c r="G91" s="88">
        <v>1605.4458313226587</v>
      </c>
      <c r="H91" s="88">
        <v>3398.0265555148762</v>
      </c>
      <c r="I91" s="88">
        <v>12018.164426779729</v>
      </c>
      <c r="J91" s="87">
        <v>-0.14848485621915944</v>
      </c>
      <c r="K91" s="87">
        <v>-0.25687086080646765</v>
      </c>
      <c r="L91" s="89">
        <v>-0.18361504476286483</v>
      </c>
      <c r="M91" s="89">
        <v>5.5111895842923087E-2</v>
      </c>
      <c r="N91" s="52">
        <v>3.3768600000000003E-2</v>
      </c>
      <c r="O91" s="92">
        <v>-0.12003342871169886</v>
      </c>
      <c r="P91" s="92">
        <v>2.3601090869529884E-2</v>
      </c>
      <c r="Q91" s="92">
        <v>0.12844660909024985</v>
      </c>
      <c r="R91" s="92">
        <v>5.7583733158825146E-2</v>
      </c>
    </row>
    <row r="92" spans="1:18">
      <c r="A92" s="86">
        <v>2001</v>
      </c>
      <c r="B92" s="87">
        <v>-0.11849759142000185</v>
      </c>
      <c r="C92" s="87">
        <v>3.3883333333333335E-2</v>
      </c>
      <c r="D92" s="87">
        <v>5.5721811892492555E-2</v>
      </c>
      <c r="E92" s="87">
        <v>7.8191507542878236E-2</v>
      </c>
      <c r="F92" s="88">
        <v>125622.00708807123</v>
      </c>
      <c r="G92" s="88">
        <v>1659.8436875739746</v>
      </c>
      <c r="H92" s="88">
        <v>3587.3707520469702</v>
      </c>
      <c r="I92" s="88">
        <v>12957.882821207828</v>
      </c>
      <c r="J92" s="87">
        <v>-0.1523809247533352</v>
      </c>
      <c r="K92" s="87">
        <v>-0.17421940331249441</v>
      </c>
      <c r="L92" s="89">
        <v>-0.19668909896288009</v>
      </c>
      <c r="M92" s="89">
        <v>5.1665345512908356E-2</v>
      </c>
      <c r="N92" s="52">
        <v>2.8261699999999997E-2</v>
      </c>
      <c r="O92" s="92">
        <v>-0.14272562268924527</v>
      </c>
      <c r="P92" s="92">
        <v>5.467123139307084E-3</v>
      </c>
      <c r="Q92" s="92">
        <v>2.6705372661932625E-2</v>
      </c>
      <c r="R92" s="92">
        <v>4.8557490318737129E-2</v>
      </c>
    </row>
    <row r="93" spans="1:18">
      <c r="A93" s="86">
        <v>2002</v>
      </c>
      <c r="B93" s="87">
        <v>-0.21966047957912699</v>
      </c>
      <c r="C93" s="87">
        <v>1.6025000000000001E-2</v>
      </c>
      <c r="D93" s="87">
        <v>0.15116400378109285</v>
      </c>
      <c r="E93" s="87">
        <v>0.12177867693975485</v>
      </c>
      <c r="F93" s="88">
        <v>98027.816765413008</v>
      </c>
      <c r="G93" s="88">
        <v>1686.4426826673475</v>
      </c>
      <c r="H93" s="88">
        <v>4129.6520779735802</v>
      </c>
      <c r="I93" s="88">
        <v>14535.876647114896</v>
      </c>
      <c r="J93" s="87">
        <v>-0.235685479579127</v>
      </c>
      <c r="K93" s="87">
        <v>-0.37082448336021984</v>
      </c>
      <c r="L93" s="89">
        <v>-0.34143915651888185</v>
      </c>
      <c r="M93" s="89">
        <v>4.5325449773477855E-2</v>
      </c>
      <c r="N93" s="52">
        <v>1.5860300000000001E-2</v>
      </c>
      <c r="O93" s="92">
        <v>-0.23184366942888401</v>
      </c>
      <c r="P93" s="92">
        <v>1.621285918940174E-4</v>
      </c>
      <c r="Q93" s="92">
        <v>0.13319125058937042</v>
      </c>
      <c r="R93" s="92">
        <v>0.1042647074009635</v>
      </c>
    </row>
    <row r="94" spans="1:18">
      <c r="A94" s="86">
        <v>2003</v>
      </c>
      <c r="B94" s="87">
        <v>0.28355800050010233</v>
      </c>
      <c r="C94" s="87">
        <v>1.0108333333333332E-2</v>
      </c>
      <c r="D94" s="87">
        <v>3.7531858817758529E-3</v>
      </c>
      <c r="E94" s="87">
        <v>0.13532012096857571</v>
      </c>
      <c r="F94" s="88">
        <v>125824.38848080393</v>
      </c>
      <c r="G94" s="88">
        <v>1703.4898074513101</v>
      </c>
      <c r="H94" s="88">
        <v>4145.1514298492766</v>
      </c>
      <c r="I94" s="88">
        <v>16502.873233386777</v>
      </c>
      <c r="J94" s="87">
        <v>0.27344966716676899</v>
      </c>
      <c r="K94" s="87">
        <v>0.27980481461832646</v>
      </c>
      <c r="L94" s="89">
        <v>0.14823787953152662</v>
      </c>
      <c r="M94" s="89">
        <v>4.8237796117156506E-2</v>
      </c>
      <c r="N94" s="52">
        <v>2.2700900000000003E-2</v>
      </c>
      <c r="O94" s="92">
        <v>0.25506685336847013</v>
      </c>
      <c r="P94" s="92">
        <v>-1.2313049364351403E-2</v>
      </c>
      <c r="Q94" s="92">
        <v>-1.8527131557451559E-2</v>
      </c>
      <c r="R94" s="92">
        <v>0.11011941122626934</v>
      </c>
    </row>
    <row r="95" spans="1:18">
      <c r="A95" s="86">
        <v>2004</v>
      </c>
      <c r="B95" s="87">
        <v>0.10742775944096193</v>
      </c>
      <c r="C95" s="87">
        <v>1.3716666666666665E-2</v>
      </c>
      <c r="D95" s="87">
        <v>4.490683702274547E-2</v>
      </c>
      <c r="E95" s="87">
        <v>9.888628408721839E-2</v>
      </c>
      <c r="F95" s="88">
        <v>139341.42061832585</v>
      </c>
      <c r="G95" s="88">
        <v>1726.8560093101837</v>
      </c>
      <c r="H95" s="88">
        <v>4331.2970695441181</v>
      </c>
      <c r="I95" s="88">
        <v>18134.781044198815</v>
      </c>
      <c r="J95" s="87">
        <v>9.3711092774295263E-2</v>
      </c>
      <c r="K95" s="87">
        <v>6.2520922418216468E-2</v>
      </c>
      <c r="L95" s="89">
        <v>8.5414753537435412E-3</v>
      </c>
      <c r="M95" s="89">
        <v>4.842299846885445E-2</v>
      </c>
      <c r="N95" s="52">
        <v>2.6772399999999998E-2</v>
      </c>
      <c r="O95" s="92">
        <v>7.8552325170565318E-2</v>
      </c>
      <c r="P95" s="92">
        <v>-1.2715313864429367E-2</v>
      </c>
      <c r="Q95" s="92">
        <v>1.766159376970533E-2</v>
      </c>
      <c r="R95" s="92">
        <v>7.0233563043979874E-2</v>
      </c>
    </row>
    <row r="96" spans="1:18">
      <c r="A96" s="86">
        <v>2005</v>
      </c>
      <c r="B96" s="87">
        <v>4.8344775232688535E-2</v>
      </c>
      <c r="C96" s="87">
        <v>3.1466666666666664E-2</v>
      </c>
      <c r="D96" s="87">
        <v>2.8675329597779506E-2</v>
      </c>
      <c r="E96" s="87">
        <v>4.9175379871695298E-2</v>
      </c>
      <c r="F96" s="88">
        <v>146077.8502787223</v>
      </c>
      <c r="G96" s="88">
        <v>1781.1944117364776</v>
      </c>
      <c r="H96" s="88">
        <v>4455.4984405991927</v>
      </c>
      <c r="I96" s="88">
        <v>19026.565790937311</v>
      </c>
      <c r="J96" s="87">
        <v>1.6878108566021871E-2</v>
      </c>
      <c r="K96" s="87">
        <v>1.9669445634909029E-2</v>
      </c>
      <c r="L96" s="89">
        <v>-8.3060463900676285E-4</v>
      </c>
      <c r="M96" s="89">
        <v>4.8042189402255131E-2</v>
      </c>
      <c r="N96" s="52">
        <v>3.3927499999999999E-2</v>
      </c>
      <c r="O96" s="92">
        <v>1.3944183932324661E-2</v>
      </c>
      <c r="P96" s="92">
        <v>-2.3800830651405924E-3</v>
      </c>
      <c r="Q96" s="92">
        <v>-5.0798246513612533E-3</v>
      </c>
      <c r="R96" s="92">
        <v>1.4747532947615216E-2</v>
      </c>
    </row>
    <row r="97" spans="1:18">
      <c r="A97" s="86">
        <v>2006</v>
      </c>
      <c r="B97" s="87">
        <v>0.15612557979315703</v>
      </c>
      <c r="C97" s="87">
        <v>4.7266666666666665E-2</v>
      </c>
      <c r="D97" s="87">
        <v>1.9610012417568386E-2</v>
      </c>
      <c r="E97" s="87">
        <v>7.048397662889147E-2</v>
      </c>
      <c r="F97" s="88">
        <v>168884.33934842583</v>
      </c>
      <c r="G97" s="88">
        <v>1865.385534264555</v>
      </c>
      <c r="H97" s="88">
        <v>4542.8708203458</v>
      </c>
      <c r="I97" s="88">
        <v>20367.633809473802</v>
      </c>
      <c r="J97" s="87">
        <v>0.10885891312649036</v>
      </c>
      <c r="K97" s="87">
        <v>0.13651556737558865</v>
      </c>
      <c r="L97" s="89">
        <v>8.5641603164265556E-2</v>
      </c>
      <c r="M97" s="89">
        <v>4.9149036004805913E-2</v>
      </c>
      <c r="N97" s="52">
        <v>3.2259400000000001E-2</v>
      </c>
      <c r="O97" s="92">
        <v>0.11999520643082251</v>
      </c>
      <c r="P97" s="92">
        <v>1.4538270774445472E-2</v>
      </c>
      <c r="Q97" s="92">
        <v>-1.225407836676673E-2</v>
      </c>
      <c r="R97" s="92">
        <v>3.7030010701662119E-2</v>
      </c>
    </row>
    <row r="98" spans="1:18">
      <c r="A98" s="86">
        <v>2007</v>
      </c>
      <c r="B98" s="87">
        <v>5.4847352464217694E-2</v>
      </c>
      <c r="C98" s="87">
        <v>4.3533333333333334E-2</v>
      </c>
      <c r="D98" s="87">
        <v>0.10209921930012807</v>
      </c>
      <c r="E98" s="87">
        <v>3.1503861528055586E-2</v>
      </c>
      <c r="F98" s="88">
        <v>178147.19823435548</v>
      </c>
      <c r="G98" s="88">
        <v>1946.5919845228721</v>
      </c>
      <c r="H98" s="88">
        <v>5006.6943844844382</v>
      </c>
      <c r="I98" s="88">
        <v>21009.292924661608</v>
      </c>
      <c r="J98" s="87">
        <v>1.131401913088436E-2</v>
      </c>
      <c r="K98" s="87">
        <v>-4.7251866835910372E-2</v>
      </c>
      <c r="L98" s="89">
        <v>2.3343490936162108E-2</v>
      </c>
      <c r="M98" s="89">
        <v>4.7948712238125024E-2</v>
      </c>
      <c r="N98" s="52">
        <v>2.8526699999999999E-2</v>
      </c>
      <c r="O98" s="92">
        <v>2.5590636066343819E-2</v>
      </c>
      <c r="P98" s="92">
        <v>1.4590416887897417E-2</v>
      </c>
      <c r="Q98" s="92">
        <v>7.1531948854733685E-2</v>
      </c>
      <c r="R98" s="92">
        <v>2.8945884711166769E-3</v>
      </c>
    </row>
    <row r="99" spans="1:18">
      <c r="A99" s="86">
        <v>2008</v>
      </c>
      <c r="B99" s="87">
        <v>-0.36552344111798191</v>
      </c>
      <c r="C99" s="87">
        <v>1.3650000000000001E-2</v>
      </c>
      <c r="D99" s="87">
        <v>0.20101279926977011</v>
      </c>
      <c r="E99" s="87">
        <v>-5.0657146287488741E-2</v>
      </c>
      <c r="F99" s="88">
        <v>113030.22131020659</v>
      </c>
      <c r="G99" s="88">
        <v>1973.1629651116091</v>
      </c>
      <c r="H99" s="88">
        <v>6013.1040377978934</v>
      </c>
      <c r="I99" s="88">
        <v>19945.022099580321</v>
      </c>
      <c r="J99" s="87">
        <v>-0.3791734411179819</v>
      </c>
      <c r="K99" s="87">
        <v>-0.56653624038775208</v>
      </c>
      <c r="L99" s="89">
        <v>-0.31486629483049317</v>
      </c>
      <c r="M99" s="89">
        <v>3.8795868868689798E-2</v>
      </c>
      <c r="N99" s="52">
        <v>3.8391000000000002E-2</v>
      </c>
      <c r="O99" s="92">
        <v>-0.38898106890177397</v>
      </c>
      <c r="P99" s="92">
        <v>-2.3826285089142862E-2</v>
      </c>
      <c r="Q99" s="92">
        <v>0.15660940750619945</v>
      </c>
      <c r="R99" s="92">
        <v>-8.5755891843716681E-2</v>
      </c>
    </row>
    <row r="100" spans="1:18">
      <c r="A100" s="86">
        <v>2009</v>
      </c>
      <c r="B100" s="87">
        <v>0.25935233877663982</v>
      </c>
      <c r="C100" s="87">
        <v>1.5E-3</v>
      </c>
      <c r="D100" s="87">
        <v>-0.11116695313259162</v>
      </c>
      <c r="E100" s="87">
        <v>0.23329502491661896</v>
      </c>
      <c r="F100" s="88">
        <v>142344.87355944986</v>
      </c>
      <c r="G100" s="88">
        <v>1976.1227095592767</v>
      </c>
      <c r="H100" s="88">
        <v>5344.6455830466175</v>
      </c>
      <c r="I100" s="88">
        <v>24598.096527264428</v>
      </c>
      <c r="J100" s="87">
        <v>0.25785233877663982</v>
      </c>
      <c r="K100" s="87">
        <v>0.37051929190923144</v>
      </c>
      <c r="L100" s="89">
        <v>2.6057313860020859E-2</v>
      </c>
      <c r="M100" s="89">
        <v>4.2868506133348472E-2</v>
      </c>
      <c r="N100" s="52">
        <v>-3.5554999999999996E-3</v>
      </c>
      <c r="O100" s="92">
        <v>0.26384594302707276</v>
      </c>
      <c r="P100" s="92">
        <v>5.0735389678000509E-3</v>
      </c>
      <c r="Q100" s="92">
        <v>-0.10799543088711072</v>
      </c>
      <c r="R100" s="92">
        <v>0.23769565180661756</v>
      </c>
    </row>
    <row r="101" spans="1:18">
      <c r="A101" s="86">
        <v>2010</v>
      </c>
      <c r="B101" s="87">
        <v>0.14821092278719414</v>
      </c>
      <c r="C101" s="87">
        <v>1.3666666666666666E-3</v>
      </c>
      <c r="D101" s="87">
        <v>8.4629338803557719E-2</v>
      </c>
      <c r="E101" s="87">
        <v>8.3478423659066131E-2</v>
      </c>
      <c r="F101" s="88">
        <v>163441.93862372241</v>
      </c>
      <c r="G101" s="88">
        <v>1978.8234105956744</v>
      </c>
      <c r="H101" s="88">
        <v>5796.9594048792078</v>
      </c>
      <c r="I101" s="88">
        <v>26651.506850374015</v>
      </c>
      <c r="J101" s="87">
        <v>0.14684425612052748</v>
      </c>
      <c r="K101" s="87">
        <v>6.3581583983636419E-2</v>
      </c>
      <c r="L101" s="89">
        <v>6.4732499128128007E-2</v>
      </c>
      <c r="M101" s="89">
        <v>4.3108516433475463E-2</v>
      </c>
      <c r="N101" s="52">
        <v>1.6400399999999999E-2</v>
      </c>
      <c r="O101" s="92">
        <v>0.12968365890764533</v>
      </c>
      <c r="P101" s="92">
        <v>-1.4791152515616135E-2</v>
      </c>
      <c r="Q101" s="92">
        <v>6.7128012546588733E-2</v>
      </c>
      <c r="R101" s="92">
        <v>6.5995668300667942E-2</v>
      </c>
    </row>
    <row r="102" spans="1:18">
      <c r="A102" s="86">
        <v>2011</v>
      </c>
      <c r="B102" s="87">
        <v>2.09837473362805E-2</v>
      </c>
      <c r="C102" s="87">
        <v>5.2499999999999997E-4</v>
      </c>
      <c r="D102" s="87">
        <v>0.16035334999461354</v>
      </c>
      <c r="E102" s="87">
        <v>0.12584514401372299</v>
      </c>
      <c r="F102" s="88">
        <v>166871.56296795449</v>
      </c>
      <c r="G102" s="88">
        <v>1979.8622928862374</v>
      </c>
      <c r="H102" s="88">
        <v>6726.5212652343698</v>
      </c>
      <c r="I102" s="88">
        <v>30005.469568142056</v>
      </c>
      <c r="J102" s="87">
        <v>2.0458747336280499E-2</v>
      </c>
      <c r="K102" s="87">
        <v>-0.13936960265833304</v>
      </c>
      <c r="L102" s="89">
        <v>-0.10486139667744249</v>
      </c>
      <c r="M102" s="89">
        <v>4.0970429004248521E-2</v>
      </c>
      <c r="N102" s="52">
        <v>3.1568399999999996E-2</v>
      </c>
      <c r="O102" s="92">
        <v>-1.026073759502466E-2</v>
      </c>
      <c r="P102" s="92">
        <v>-3.0093399526391007E-2</v>
      </c>
      <c r="Q102" s="92">
        <v>0.12484383003067312</v>
      </c>
      <c r="R102" s="92">
        <v>9.1391655670843397E-2</v>
      </c>
    </row>
    <row r="103" spans="1:18">
      <c r="A103" s="86">
        <v>2012</v>
      </c>
      <c r="B103" s="87">
        <v>0.15890585241730293</v>
      </c>
      <c r="C103" s="87">
        <v>8.5833333333333334E-4</v>
      </c>
      <c r="D103" s="87">
        <v>2.971571978018946E-2</v>
      </c>
      <c r="E103" s="87">
        <v>0.10124677875843502</v>
      </c>
      <c r="F103" s="88">
        <v>193388.43092558492</v>
      </c>
      <c r="G103" s="88">
        <v>1981.5616746876315</v>
      </c>
      <c r="H103" s="88">
        <v>6926.4046862475598</v>
      </c>
      <c r="I103" s="88">
        <v>33043.42670705069</v>
      </c>
      <c r="J103" s="87">
        <v>0.15804751908396961</v>
      </c>
      <c r="K103" s="87">
        <v>0.12919013263711346</v>
      </c>
      <c r="L103" s="89">
        <v>5.765907365886791E-2</v>
      </c>
      <c r="M103" s="89">
        <v>4.1988275684727405E-2</v>
      </c>
      <c r="N103" s="52">
        <v>2.0693400000000001E-2</v>
      </c>
      <c r="O103" s="92">
        <v>0.1354103518424854</v>
      </c>
      <c r="P103" s="92">
        <v>-1.9432933206648184E-2</v>
      </c>
      <c r="Q103" s="92">
        <v>8.8394024887290534E-3</v>
      </c>
      <c r="R103" s="92">
        <v>7.8920250447818141E-2</v>
      </c>
    </row>
    <row r="104" spans="1:18">
      <c r="A104" s="86">
        <v>2013</v>
      </c>
      <c r="B104" s="87">
        <v>0.32145085858125483</v>
      </c>
      <c r="C104" s="87">
        <v>5.8333333333333338E-4</v>
      </c>
      <c r="D104" s="87">
        <v>-9.104568794347262E-2</v>
      </c>
      <c r="E104" s="87">
        <v>-1.0559012069494618E-2</v>
      </c>
      <c r="F104" s="88">
        <v>255553.30808629587</v>
      </c>
      <c r="G104" s="88">
        <v>1982.7175856645326</v>
      </c>
      <c r="H104" s="88">
        <v>6295.7854066132577</v>
      </c>
      <c r="I104" s="88">
        <v>32694.520765633482</v>
      </c>
      <c r="J104" s="87">
        <v>0.3208675252479215</v>
      </c>
      <c r="K104" s="87">
        <v>0.41249654652472745</v>
      </c>
      <c r="L104" s="89">
        <v>0.33200987065074944</v>
      </c>
      <c r="M104" s="89">
        <v>4.6176809418723153E-2</v>
      </c>
      <c r="N104" s="52">
        <v>1.4648300000000001E-2</v>
      </c>
      <c r="O104" s="92">
        <v>0.30237330371642557</v>
      </c>
      <c r="P104" s="92">
        <v>-1.3861913203487952E-2</v>
      </c>
      <c r="Q104" s="92">
        <v>-0.10416810233011042</v>
      </c>
      <c r="R104" s="92">
        <v>-2.4843398515026927E-2</v>
      </c>
    </row>
    <row r="105" spans="1:18">
      <c r="A105" s="86">
        <v>2014</v>
      </c>
      <c r="B105" s="87">
        <v>0.13524421649462237</v>
      </c>
      <c r="C105" s="87">
        <v>3.2499999999999999E-4</v>
      </c>
      <c r="D105" s="87">
        <v>0.10746180452004755</v>
      </c>
      <c r="E105" s="87">
        <v>0.10384907822030469</v>
      </c>
      <c r="F105" s="88">
        <v>290115.4150110358</v>
      </c>
      <c r="G105" s="88">
        <v>1983.3619688798735</v>
      </c>
      <c r="H105" s="88">
        <v>6972.3418672788994</v>
      </c>
      <c r="I105" s="88">
        <v>36089.816609999129</v>
      </c>
      <c r="J105" s="87">
        <v>0.13491921649462238</v>
      </c>
      <c r="K105" s="87">
        <v>2.7782411974574817E-2</v>
      </c>
      <c r="L105" s="89">
        <v>3.1395138274317683E-2</v>
      </c>
      <c r="M105" s="89">
        <v>4.5975029375833421E-2</v>
      </c>
      <c r="N105" s="52">
        <v>1.6222199999999999E-2</v>
      </c>
      <c r="O105" s="92">
        <v>0.11712203934791265</v>
      </c>
      <c r="P105" s="92">
        <v>-1.5643429163425204E-2</v>
      </c>
      <c r="Q105" s="92">
        <v>8.978312471430705E-2</v>
      </c>
      <c r="R105" s="92">
        <v>8.6228069235551708E-2</v>
      </c>
    </row>
    <row r="106" spans="1:18">
      <c r="A106" s="93">
        <v>2015</v>
      </c>
      <c r="B106" s="87">
        <v>1.3788916411676138E-2</v>
      </c>
      <c r="C106" s="87">
        <v>5.2499999999999997E-4</v>
      </c>
      <c r="D106" s="87">
        <v>1.2842996709792224E-2</v>
      </c>
      <c r="E106" s="87">
        <v>-6.9751836790324859E-3</v>
      </c>
      <c r="F106" s="88">
        <v>294115.79221836175</v>
      </c>
      <c r="G106" s="88">
        <v>1984.4032339135356</v>
      </c>
      <c r="H106" s="88">
        <v>7061.8876309399093</v>
      </c>
      <c r="I106" s="88">
        <v>35838.083510201788</v>
      </c>
      <c r="J106" s="87">
        <v>1.3263916411676138E-2</v>
      </c>
      <c r="K106" s="87">
        <v>9.4591970188391376E-4</v>
      </c>
      <c r="L106" s="89">
        <v>2.0764100090708622E-2</v>
      </c>
      <c r="M106" s="89">
        <v>4.5434457313765497E-2</v>
      </c>
      <c r="N106" s="52">
        <v>1.1862999999999999E-3</v>
      </c>
      <c r="O106" s="92">
        <v>1.2587683642570902E-2</v>
      </c>
      <c r="P106" s="92">
        <v>-6.6051642935982535E-4</v>
      </c>
      <c r="Q106" s="92">
        <v>1.1642884755606708E-2</v>
      </c>
      <c r="R106" s="92">
        <v>-8.151813183053469E-3</v>
      </c>
    </row>
    <row r="107" spans="1:18">
      <c r="A107" s="94">
        <v>2016</v>
      </c>
      <c r="B107" s="87">
        <v>0.11773080874798171</v>
      </c>
      <c r="C107" s="87">
        <v>3.1749999999999999E-3</v>
      </c>
      <c r="D107" s="87">
        <v>6.9055046987477921E-3</v>
      </c>
      <c r="E107" s="87">
        <v>0.10365105821793222</v>
      </c>
      <c r="F107" s="88">
        <v>328742.28230178286</v>
      </c>
      <c r="G107" s="88">
        <v>1990.7037141812109</v>
      </c>
      <c r="H107" s="88">
        <v>7110.6535291573937</v>
      </c>
      <c r="I107" s="88">
        <v>39552.73879053683</v>
      </c>
      <c r="J107" s="87">
        <v>0.11455580874798171</v>
      </c>
      <c r="K107" s="87">
        <v>0.11082530404923392</v>
      </c>
      <c r="L107" s="89">
        <v>1.4079750530049492E-2</v>
      </c>
      <c r="M107" s="89">
        <v>4.6176501247687796E-2</v>
      </c>
      <c r="N107" s="52">
        <v>1.26158E-2</v>
      </c>
      <c r="O107" s="92">
        <v>0.10380542032623019</v>
      </c>
      <c r="P107" s="92">
        <v>-9.323180617960114E-3</v>
      </c>
      <c r="Q107" s="92">
        <v>-5.6391528763941601E-3</v>
      </c>
      <c r="R107" s="92">
        <v>8.9901084120879826E-2</v>
      </c>
    </row>
    <row r="108" spans="1:18">
      <c r="A108" s="94">
        <v>2017</v>
      </c>
      <c r="B108" s="87">
        <v>0.2160548143449928</v>
      </c>
      <c r="C108" s="87">
        <v>9.3083333333333334E-3</v>
      </c>
      <c r="D108" s="87">
        <v>2.8017162707789457E-2</v>
      </c>
      <c r="E108" s="87">
        <v>9.7239019462488363E-2</v>
      </c>
      <c r="F108" s="88">
        <v>399768.63507184375</v>
      </c>
      <c r="G108" s="88">
        <v>2009.2338479207142</v>
      </c>
      <c r="H108" s="88">
        <v>7309.8738660425133</v>
      </c>
      <c r="I108" s="88">
        <v>43398.808327584557</v>
      </c>
      <c r="J108" s="87">
        <v>0.20674648101165946</v>
      </c>
      <c r="K108" s="87">
        <v>0.18803765163720335</v>
      </c>
      <c r="L108" s="89">
        <v>0.11881579488250443</v>
      </c>
      <c r="M108" s="89">
        <v>4.7686840373502015E-2</v>
      </c>
      <c r="N108" s="52">
        <v>2.1301100000000003E-2</v>
      </c>
      <c r="O108" s="92">
        <v>0.19069176988548486</v>
      </c>
      <c r="P108" s="92">
        <v>-1.1742635611248109E-2</v>
      </c>
      <c r="Q108" s="92">
        <v>6.5759869521235803E-3</v>
      </c>
      <c r="R108" s="92">
        <v>7.4354095440108958E-2</v>
      </c>
    </row>
    <row r="109" spans="1:18">
      <c r="A109" s="94">
        <v>2018</v>
      </c>
      <c r="B109" s="87">
        <v>-4.2268692890885438E-2</v>
      </c>
      <c r="C109" s="87">
        <v>1.9391666666666668E-2</v>
      </c>
      <c r="D109" s="87">
        <v>-1.6692385713402633E-4</v>
      </c>
      <c r="E109" s="87">
        <v>-2.7626282217172247E-2</v>
      </c>
      <c r="F109" s="88">
        <v>382870.93740858353</v>
      </c>
      <c r="G109" s="88">
        <v>2048.1962409549769</v>
      </c>
      <c r="H109" s="88">
        <v>7308.6536737016304</v>
      </c>
      <c r="I109" s="88">
        <v>42199.860600837739</v>
      </c>
      <c r="J109" s="87">
        <v>-6.1660359557552107E-2</v>
      </c>
      <c r="K109" s="87">
        <v>-4.2101769033751416E-2</v>
      </c>
      <c r="L109" s="89">
        <v>-1.4642410673713191E-2</v>
      </c>
      <c r="M109" s="89">
        <v>4.6608669094632571E-2</v>
      </c>
      <c r="N109" s="52">
        <v>2.4425800000000001E-2</v>
      </c>
      <c r="O109" s="92">
        <v>-6.5104269036259543E-2</v>
      </c>
      <c r="P109" s="92">
        <v>-4.9141024497169061E-3</v>
      </c>
      <c r="Q109" s="92">
        <v>-2.4006349563954754E-2</v>
      </c>
      <c r="R109" s="92">
        <v>-5.0810983301252444E-2</v>
      </c>
    </row>
    <row r="110" spans="1:18">
      <c r="A110" s="86">
        <v>2019</v>
      </c>
      <c r="B110" s="87">
        <v>0.31211679996808755</v>
      </c>
      <c r="C110" s="87">
        <v>1.55E-2</v>
      </c>
      <c r="D110" s="87">
        <v>9.6356307415483927E-2</v>
      </c>
      <c r="E110" s="87">
        <v>0.15329457562368487</v>
      </c>
      <c r="F110" s="88">
        <v>502371.38919333258</v>
      </c>
      <c r="G110" s="88">
        <v>2079.9432826897792</v>
      </c>
      <c r="H110" s="88">
        <v>8012.8885538781296</v>
      </c>
      <c r="I110" s="88">
        <v>48668.870323021823</v>
      </c>
      <c r="J110" s="87">
        <v>0.29661679996808754</v>
      </c>
      <c r="K110" s="87">
        <v>0.21576049255260363</v>
      </c>
      <c r="L110" s="89">
        <v>0.15882222434440268</v>
      </c>
      <c r="M110" s="89">
        <v>4.8253684406804442E-2</v>
      </c>
      <c r="N110" s="52">
        <v>2.29E-2</v>
      </c>
      <c r="O110" s="92">
        <v>0.28274200798522608</v>
      </c>
      <c r="P110" s="92">
        <v>-7.234333756965361E-3</v>
      </c>
      <c r="Q110" s="92">
        <v>7.1811816810522844E-2</v>
      </c>
      <c r="R110" s="92">
        <v>0.12747538921075874</v>
      </c>
    </row>
    <row r="111" spans="1:18" ht="16.5" thickBot="1">
      <c r="A111" s="94">
        <v>2020</v>
      </c>
      <c r="B111" s="87">
        <v>0.18013916144089043</v>
      </c>
      <c r="C111" s="95">
        <v>8.9999999999999998E-4</v>
      </c>
      <c r="D111" s="95">
        <v>0.1133189764661412</v>
      </c>
      <c r="E111" s="95">
        <v>0.10411537157111345</v>
      </c>
      <c r="F111" s="88">
        <v>592868.14997451473</v>
      </c>
      <c r="G111" s="88">
        <v>2081.8152316441997</v>
      </c>
      <c r="H111" s="88">
        <v>8920.9008833408589</v>
      </c>
      <c r="I111" s="88">
        <v>53736.047840649575</v>
      </c>
      <c r="J111" s="87">
        <v>0.17923916144089042</v>
      </c>
      <c r="K111" s="87">
        <v>6.682018497474923E-2</v>
      </c>
      <c r="L111" s="96">
        <v>7.6023789869776981E-2</v>
      </c>
      <c r="M111" s="89">
        <v>4.8441734554471871E-2</v>
      </c>
      <c r="N111" s="97">
        <v>1.2E-2</v>
      </c>
      <c r="O111" s="98">
        <v>0.16614541644356762</v>
      </c>
      <c r="P111" s="98">
        <v>-1.0968379446640419E-2</v>
      </c>
      <c r="Q111" s="98">
        <v>0.10011756567800534</v>
      </c>
      <c r="R111" s="98">
        <v>9.1023094437859164E-2</v>
      </c>
    </row>
    <row r="112" spans="1:18" ht="16.5" thickBot="1">
      <c r="H112" s="311" t="s">
        <v>75</v>
      </c>
      <c r="I112" s="312"/>
      <c r="J112" s="313" t="s">
        <v>76</v>
      </c>
      <c r="K112" s="314"/>
    </row>
    <row r="113" spans="1:20" ht="16.5" thickBot="1">
      <c r="A113" s="315" t="s">
        <v>77</v>
      </c>
      <c r="B113" s="316"/>
      <c r="C113" s="316"/>
      <c r="D113" s="316"/>
      <c r="E113" s="317"/>
      <c r="F113" s="81"/>
      <c r="G113" s="99"/>
      <c r="H113" s="100" t="s">
        <v>78</v>
      </c>
      <c r="I113" s="100" t="s">
        <v>79</v>
      </c>
      <c r="J113" s="100" t="s">
        <v>78</v>
      </c>
      <c r="K113" s="100" t="s">
        <v>79</v>
      </c>
      <c r="N113" s="315" t="s">
        <v>80</v>
      </c>
      <c r="O113" s="316"/>
      <c r="P113" s="316"/>
      <c r="Q113" s="316"/>
      <c r="R113" s="318"/>
    </row>
    <row r="114" spans="1:20">
      <c r="A114" s="101" t="s">
        <v>81</v>
      </c>
      <c r="B114" s="102">
        <v>0.11641421697528424</v>
      </c>
      <c r="C114" s="102">
        <v>3.3614605734767031E-2</v>
      </c>
      <c r="D114" s="102">
        <v>5.2128747076616674E-2</v>
      </c>
      <c r="E114" s="102">
        <v>7.25328538772715E-2</v>
      </c>
      <c r="F114" s="19"/>
      <c r="G114" s="19"/>
      <c r="H114" s="92">
        <v>8.2799611240517212E-2</v>
      </c>
      <c r="I114" s="92">
        <v>6.4285469898667569E-2</v>
      </c>
      <c r="J114" s="103">
        <v>2.0559303603699879E-2</v>
      </c>
      <c r="K114" s="103">
        <v>2.1799512322732733E-2</v>
      </c>
      <c r="N114" s="101" t="s">
        <v>81</v>
      </c>
      <c r="O114" s="102">
        <v>8.5008148965544872E-2</v>
      </c>
      <c r="P114" s="102">
        <v>4.1741511808092453E-3</v>
      </c>
      <c r="Q114" s="102">
        <v>2.2510637101056438E-2</v>
      </c>
      <c r="R114" s="102">
        <v>4.2691784590059623E-2</v>
      </c>
    </row>
    <row r="115" spans="1:20">
      <c r="A115" s="22" t="s">
        <v>82</v>
      </c>
      <c r="B115" s="26">
        <v>0.12181869712686248</v>
      </c>
      <c r="C115" s="26">
        <v>4.5090833333333358E-2</v>
      </c>
      <c r="D115" s="26">
        <v>7.285997439796231E-2</v>
      </c>
      <c r="E115" s="26">
        <v>9.5504601059945196E-2</v>
      </c>
      <c r="F115" s="49"/>
      <c r="G115" s="49"/>
      <c r="H115" s="92">
        <v>7.6727863793529125E-2</v>
      </c>
      <c r="I115" s="92">
        <v>4.8958722728900173E-2</v>
      </c>
      <c r="J115" s="92">
        <v>2.3849394335285119E-2</v>
      </c>
      <c r="K115" s="92">
        <v>2.7018435406042696E-2</v>
      </c>
      <c r="N115" s="22" t="s">
        <v>82</v>
      </c>
      <c r="O115" s="26">
        <v>8.0816751244198598E-2</v>
      </c>
      <c r="P115" s="26">
        <v>5.7993855792673778E-3</v>
      </c>
      <c r="Q115" s="26">
        <v>3.3250612376847684E-2</v>
      </c>
      <c r="R115" s="26">
        <v>5.5495218675982914E-2</v>
      </c>
    </row>
    <row r="116" spans="1:20">
      <c r="A116" s="22" t="s">
        <v>83</v>
      </c>
      <c r="B116" s="26">
        <v>0.14341464828522038</v>
      </c>
      <c r="C116" s="26">
        <v>5.1091666666666664E-3</v>
      </c>
      <c r="D116" s="26">
        <v>4.6375921049219851E-2</v>
      </c>
      <c r="E116" s="26">
        <v>7.4408054790198228E-2</v>
      </c>
      <c r="F116" s="49"/>
      <c r="G116" s="49"/>
      <c r="H116" s="92">
        <v>0.13830548161855372</v>
      </c>
      <c r="I116" s="92">
        <v>9.703872723600053E-2</v>
      </c>
      <c r="J116" s="92">
        <v>3.8762231772307566E-2</v>
      </c>
      <c r="K116" s="92">
        <v>4.8683271302865191E-2</v>
      </c>
      <c r="N116" s="22" t="s">
        <v>83</v>
      </c>
      <c r="O116" s="26">
        <v>0.1235512986558619</v>
      </c>
      <c r="P116" s="26">
        <v>-1.2387482341184308E-2</v>
      </c>
      <c r="Q116" s="26">
        <v>2.7980100665950837E-2</v>
      </c>
      <c r="R116" s="26">
        <v>5.5548744356448708E-2</v>
      </c>
    </row>
    <row r="117" spans="1:20" ht="16.5" thickBot="1">
      <c r="I117" s="104" t="s">
        <v>75</v>
      </c>
      <c r="P117" s="28"/>
    </row>
    <row r="118" spans="1:20" ht="16.5" thickBot="1">
      <c r="A118" s="315" t="s">
        <v>84</v>
      </c>
      <c r="B118" s="316"/>
      <c r="C118" s="316"/>
      <c r="D118" s="316"/>
      <c r="E118" s="317"/>
      <c r="F118" s="81"/>
      <c r="G118" s="81"/>
      <c r="H118" s="105" t="s">
        <v>78</v>
      </c>
      <c r="I118" s="105" t="s">
        <v>79</v>
      </c>
      <c r="P118" s="16"/>
      <c r="Q118" s="16"/>
      <c r="R118" s="16"/>
      <c r="S118" s="16"/>
      <c r="T118" s="16"/>
    </row>
    <row r="119" spans="1:20">
      <c r="A119" s="101" t="s">
        <v>81</v>
      </c>
      <c r="B119" s="106">
        <v>9.7916829249798498E-2</v>
      </c>
      <c r="C119" s="106">
        <v>3.3181919884353928E-2</v>
      </c>
      <c r="D119" s="106">
        <v>4.9475094695326627E-2</v>
      </c>
      <c r="E119" s="106">
        <v>6.9935742598413064E-2</v>
      </c>
      <c r="F119" s="53"/>
      <c r="G119" s="53"/>
      <c r="H119" s="92">
        <v>6.4734909365444571E-2</v>
      </c>
      <c r="I119" s="92">
        <v>4.8441734554471871E-2</v>
      </c>
      <c r="P119" s="16"/>
      <c r="Q119" s="16"/>
      <c r="R119" s="16"/>
      <c r="S119" s="16"/>
      <c r="T119" s="16"/>
    </row>
    <row r="120" spans="1:20">
      <c r="A120" s="22" t="s">
        <v>82</v>
      </c>
      <c r="B120" s="25">
        <v>0.10803074193377649</v>
      </c>
      <c r="C120" s="25">
        <v>4.4552093233648948E-2</v>
      </c>
      <c r="D120" s="25">
        <v>6.892819757141222E-2</v>
      </c>
      <c r="E120" s="25">
        <v>9.2755658261067353E-2</v>
      </c>
      <c r="F120" s="53"/>
      <c r="G120" s="53"/>
      <c r="H120" s="92">
        <v>6.3478648700127538E-2</v>
      </c>
      <c r="I120" s="92">
        <v>3.9102544362364267E-2</v>
      </c>
      <c r="P120" s="16"/>
      <c r="Q120" s="16"/>
      <c r="R120" s="16"/>
      <c r="S120" s="16"/>
      <c r="T120" s="16"/>
    </row>
    <row r="121" spans="1:20">
      <c r="A121" s="22" t="s">
        <v>83</v>
      </c>
      <c r="B121" s="25">
        <v>0.13752110081750435</v>
      </c>
      <c r="C121" s="25">
        <v>5.0866723775708778E-3</v>
      </c>
      <c r="D121" s="25">
        <v>4.4048912882551194E-2</v>
      </c>
      <c r="E121" s="25">
        <v>7.2641005353615506E-2</v>
      </c>
      <c r="F121" s="53"/>
      <c r="G121" s="53"/>
      <c r="H121" s="92">
        <v>0.13243442843993347</v>
      </c>
      <c r="I121" s="92">
        <v>9.3472187934953155E-2</v>
      </c>
      <c r="P121" s="16"/>
      <c r="Q121" s="16"/>
      <c r="R121" s="16"/>
      <c r="S121" s="16"/>
      <c r="T121" s="16"/>
    </row>
  </sheetData>
  <mergeCells count="17">
    <mergeCell ref="O17:R17"/>
    <mergeCell ref="B1:G1"/>
    <mergeCell ref="B2:G2"/>
    <mergeCell ref="B3:E3"/>
    <mergeCell ref="F3:G3"/>
    <mergeCell ref="B4:G4"/>
    <mergeCell ref="B5:G5"/>
    <mergeCell ref="B6:G6"/>
    <mergeCell ref="B7:G7"/>
    <mergeCell ref="B17:E17"/>
    <mergeCell ref="F17:I17"/>
    <mergeCell ref="J17:M17"/>
    <mergeCell ref="H112:I112"/>
    <mergeCell ref="J112:K112"/>
    <mergeCell ref="A113:E113"/>
    <mergeCell ref="N113:R113"/>
    <mergeCell ref="A118:E118"/>
  </mergeCells>
  <hyperlinks>
    <hyperlink ref="B2" r:id="rId1" xr:uid="{3E55D459-1C87-4926-B805-B7857B25A99A}"/>
    <hyperlink ref="B4" r:id="rId2" xr:uid="{FE8E5B5B-9061-4DC0-8C0A-0CB4D5507BA9}"/>
    <hyperlink ref="B5" r:id="rId3" xr:uid="{9100975B-CAA2-436E-B154-EC1A8E1742EF}"/>
    <hyperlink ref="B6" r:id="rId4" xr:uid="{EC6B640D-2B07-4BE9-B584-00AF56E5F642}"/>
    <hyperlink ref="B7" r:id="rId5" xr:uid="{E86DB390-8D0D-48FB-B7F5-ABD011DA665E}"/>
  </hyperlinks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  <legacyDrawing r:id="rId6"/>
  <tableParts count="1">
    <tablePart r:id="rId7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EE818-21A9-47D6-8E6A-3976E7DEC26A}">
  <sheetPr>
    <tabColor rgb="FF92D050"/>
  </sheetPr>
  <dimension ref="A1:P96"/>
  <sheetViews>
    <sheetView workbookViewId="0">
      <selection activeCell="J23" sqref="J23"/>
    </sheetView>
  </sheetViews>
  <sheetFormatPr baseColWidth="10" defaultRowHeight="12.75"/>
  <cols>
    <col min="1" max="3" width="11.42578125" style="16"/>
    <col min="4" max="4" width="13.85546875" style="16" bestFit="1" customWidth="1"/>
    <col min="5" max="5" width="11.42578125" style="17" bestFit="1" customWidth="1"/>
    <col min="6" max="6" width="14.42578125" style="16" bestFit="1" customWidth="1"/>
    <col min="7" max="7" width="14.42578125" style="17" bestFit="1" customWidth="1"/>
    <col min="8" max="8" width="14.140625" style="16" bestFit="1" customWidth="1"/>
    <col min="9" max="9" width="14.28515625" style="16" bestFit="1" customWidth="1"/>
    <col min="10" max="10" width="14" style="16" bestFit="1" customWidth="1"/>
    <col min="11" max="11" width="20.7109375" style="17" bestFit="1" customWidth="1"/>
    <col min="12" max="12" width="11" style="16" customWidth="1"/>
    <col min="13" max="259" width="11.42578125" style="16"/>
    <col min="260" max="260" width="13.85546875" style="16" bestFit="1" customWidth="1"/>
    <col min="261" max="261" width="11.42578125" style="16" bestFit="1"/>
    <col min="262" max="263" width="14.42578125" style="16" bestFit="1" customWidth="1"/>
    <col min="264" max="264" width="14.140625" style="16" bestFit="1" customWidth="1"/>
    <col min="265" max="265" width="14.28515625" style="16" bestFit="1" customWidth="1"/>
    <col min="266" max="266" width="14" style="16" bestFit="1" customWidth="1"/>
    <col min="267" max="267" width="20.7109375" style="16" bestFit="1" customWidth="1"/>
    <col min="268" max="268" width="11" style="16" customWidth="1"/>
    <col min="269" max="515" width="11.42578125" style="16"/>
    <col min="516" max="516" width="13.85546875" style="16" bestFit="1" customWidth="1"/>
    <col min="517" max="517" width="11.42578125" style="16" bestFit="1"/>
    <col min="518" max="519" width="14.42578125" style="16" bestFit="1" customWidth="1"/>
    <col min="520" max="520" width="14.140625" style="16" bestFit="1" customWidth="1"/>
    <col min="521" max="521" width="14.28515625" style="16" bestFit="1" customWidth="1"/>
    <col min="522" max="522" width="14" style="16" bestFit="1" customWidth="1"/>
    <col min="523" max="523" width="20.7109375" style="16" bestFit="1" customWidth="1"/>
    <col min="524" max="524" width="11" style="16" customWidth="1"/>
    <col min="525" max="771" width="11.42578125" style="16"/>
    <col min="772" max="772" width="13.85546875" style="16" bestFit="1" customWidth="1"/>
    <col min="773" max="773" width="11.42578125" style="16" bestFit="1"/>
    <col min="774" max="775" width="14.42578125" style="16" bestFit="1" customWidth="1"/>
    <col min="776" max="776" width="14.140625" style="16" bestFit="1" customWidth="1"/>
    <col min="777" max="777" width="14.28515625" style="16" bestFit="1" customWidth="1"/>
    <col min="778" max="778" width="14" style="16" bestFit="1" customWidth="1"/>
    <col min="779" max="779" width="20.7109375" style="16" bestFit="1" customWidth="1"/>
    <col min="780" max="780" width="11" style="16" customWidth="1"/>
    <col min="781" max="1027" width="11.42578125" style="16"/>
    <col min="1028" max="1028" width="13.85546875" style="16" bestFit="1" customWidth="1"/>
    <col min="1029" max="1029" width="11.42578125" style="16" bestFit="1"/>
    <col min="1030" max="1031" width="14.42578125" style="16" bestFit="1" customWidth="1"/>
    <col min="1032" max="1032" width="14.140625" style="16" bestFit="1" customWidth="1"/>
    <col min="1033" max="1033" width="14.28515625" style="16" bestFit="1" customWidth="1"/>
    <col min="1034" max="1034" width="14" style="16" bestFit="1" customWidth="1"/>
    <col min="1035" max="1035" width="20.7109375" style="16" bestFit="1" customWidth="1"/>
    <col min="1036" max="1036" width="11" style="16" customWidth="1"/>
    <col min="1037" max="1283" width="11.42578125" style="16"/>
    <col min="1284" max="1284" width="13.85546875" style="16" bestFit="1" customWidth="1"/>
    <col min="1285" max="1285" width="11.42578125" style="16" bestFit="1"/>
    <col min="1286" max="1287" width="14.42578125" style="16" bestFit="1" customWidth="1"/>
    <col min="1288" max="1288" width="14.140625" style="16" bestFit="1" customWidth="1"/>
    <col min="1289" max="1289" width="14.28515625" style="16" bestFit="1" customWidth="1"/>
    <col min="1290" max="1290" width="14" style="16" bestFit="1" customWidth="1"/>
    <col min="1291" max="1291" width="20.7109375" style="16" bestFit="1" customWidth="1"/>
    <col min="1292" max="1292" width="11" style="16" customWidth="1"/>
    <col min="1293" max="1539" width="11.42578125" style="16"/>
    <col min="1540" max="1540" width="13.85546875" style="16" bestFit="1" customWidth="1"/>
    <col min="1541" max="1541" width="11.42578125" style="16" bestFit="1"/>
    <col min="1542" max="1543" width="14.42578125" style="16" bestFit="1" customWidth="1"/>
    <col min="1544" max="1544" width="14.140625" style="16" bestFit="1" customWidth="1"/>
    <col min="1545" max="1545" width="14.28515625" style="16" bestFit="1" customWidth="1"/>
    <col min="1546" max="1546" width="14" style="16" bestFit="1" customWidth="1"/>
    <col min="1547" max="1547" width="20.7109375" style="16" bestFit="1" customWidth="1"/>
    <col min="1548" max="1548" width="11" style="16" customWidth="1"/>
    <col min="1549" max="1795" width="11.42578125" style="16"/>
    <col min="1796" max="1796" width="13.85546875" style="16" bestFit="1" customWidth="1"/>
    <col min="1797" max="1797" width="11.42578125" style="16" bestFit="1"/>
    <col min="1798" max="1799" width="14.42578125" style="16" bestFit="1" customWidth="1"/>
    <col min="1800" max="1800" width="14.140625" style="16" bestFit="1" customWidth="1"/>
    <col min="1801" max="1801" width="14.28515625" style="16" bestFit="1" customWidth="1"/>
    <col min="1802" max="1802" width="14" style="16" bestFit="1" customWidth="1"/>
    <col min="1803" max="1803" width="20.7109375" style="16" bestFit="1" customWidth="1"/>
    <col min="1804" max="1804" width="11" style="16" customWidth="1"/>
    <col min="1805" max="2051" width="11.42578125" style="16"/>
    <col min="2052" max="2052" width="13.85546875" style="16" bestFit="1" customWidth="1"/>
    <col min="2053" max="2053" width="11.42578125" style="16" bestFit="1"/>
    <col min="2054" max="2055" width="14.42578125" style="16" bestFit="1" customWidth="1"/>
    <col min="2056" max="2056" width="14.140625" style="16" bestFit="1" customWidth="1"/>
    <col min="2057" max="2057" width="14.28515625" style="16" bestFit="1" customWidth="1"/>
    <col min="2058" max="2058" width="14" style="16" bestFit="1" customWidth="1"/>
    <col min="2059" max="2059" width="20.7109375" style="16" bestFit="1" customWidth="1"/>
    <col min="2060" max="2060" width="11" style="16" customWidth="1"/>
    <col min="2061" max="2307" width="11.42578125" style="16"/>
    <col min="2308" max="2308" width="13.85546875" style="16" bestFit="1" customWidth="1"/>
    <col min="2309" max="2309" width="11.42578125" style="16" bestFit="1"/>
    <col min="2310" max="2311" width="14.42578125" style="16" bestFit="1" customWidth="1"/>
    <col min="2312" max="2312" width="14.140625" style="16" bestFit="1" customWidth="1"/>
    <col min="2313" max="2313" width="14.28515625" style="16" bestFit="1" customWidth="1"/>
    <col min="2314" max="2314" width="14" style="16" bestFit="1" customWidth="1"/>
    <col min="2315" max="2315" width="20.7109375" style="16" bestFit="1" customWidth="1"/>
    <col min="2316" max="2316" width="11" style="16" customWidth="1"/>
    <col min="2317" max="2563" width="11.42578125" style="16"/>
    <col min="2564" max="2564" width="13.85546875" style="16" bestFit="1" customWidth="1"/>
    <col min="2565" max="2565" width="11.42578125" style="16" bestFit="1"/>
    <col min="2566" max="2567" width="14.42578125" style="16" bestFit="1" customWidth="1"/>
    <col min="2568" max="2568" width="14.140625" style="16" bestFit="1" customWidth="1"/>
    <col min="2569" max="2569" width="14.28515625" style="16" bestFit="1" customWidth="1"/>
    <col min="2570" max="2570" width="14" style="16" bestFit="1" customWidth="1"/>
    <col min="2571" max="2571" width="20.7109375" style="16" bestFit="1" customWidth="1"/>
    <col min="2572" max="2572" width="11" style="16" customWidth="1"/>
    <col min="2573" max="2819" width="11.42578125" style="16"/>
    <col min="2820" max="2820" width="13.85546875" style="16" bestFit="1" customWidth="1"/>
    <col min="2821" max="2821" width="11.42578125" style="16" bestFit="1"/>
    <col min="2822" max="2823" width="14.42578125" style="16" bestFit="1" customWidth="1"/>
    <col min="2824" max="2824" width="14.140625" style="16" bestFit="1" customWidth="1"/>
    <col min="2825" max="2825" width="14.28515625" style="16" bestFit="1" customWidth="1"/>
    <col min="2826" max="2826" width="14" style="16" bestFit="1" customWidth="1"/>
    <col min="2827" max="2827" width="20.7109375" style="16" bestFit="1" customWidth="1"/>
    <col min="2828" max="2828" width="11" style="16" customWidth="1"/>
    <col min="2829" max="3075" width="11.42578125" style="16"/>
    <col min="3076" max="3076" width="13.85546875" style="16" bestFit="1" customWidth="1"/>
    <col min="3077" max="3077" width="11.42578125" style="16" bestFit="1"/>
    <col min="3078" max="3079" width="14.42578125" style="16" bestFit="1" customWidth="1"/>
    <col min="3080" max="3080" width="14.140625" style="16" bestFit="1" customWidth="1"/>
    <col min="3081" max="3081" width="14.28515625" style="16" bestFit="1" customWidth="1"/>
    <col min="3082" max="3082" width="14" style="16" bestFit="1" customWidth="1"/>
    <col min="3083" max="3083" width="20.7109375" style="16" bestFit="1" customWidth="1"/>
    <col min="3084" max="3084" width="11" style="16" customWidth="1"/>
    <col min="3085" max="3331" width="11.42578125" style="16"/>
    <col min="3332" max="3332" width="13.85546875" style="16" bestFit="1" customWidth="1"/>
    <col min="3333" max="3333" width="11.42578125" style="16" bestFit="1"/>
    <col min="3334" max="3335" width="14.42578125" style="16" bestFit="1" customWidth="1"/>
    <col min="3336" max="3336" width="14.140625" style="16" bestFit="1" customWidth="1"/>
    <col min="3337" max="3337" width="14.28515625" style="16" bestFit="1" customWidth="1"/>
    <col min="3338" max="3338" width="14" style="16" bestFit="1" customWidth="1"/>
    <col min="3339" max="3339" width="20.7109375" style="16" bestFit="1" customWidth="1"/>
    <col min="3340" max="3340" width="11" style="16" customWidth="1"/>
    <col min="3341" max="3587" width="11.42578125" style="16"/>
    <col min="3588" max="3588" width="13.85546875" style="16" bestFit="1" customWidth="1"/>
    <col min="3589" max="3589" width="11.42578125" style="16" bestFit="1"/>
    <col min="3590" max="3591" width="14.42578125" style="16" bestFit="1" customWidth="1"/>
    <col min="3592" max="3592" width="14.140625" style="16" bestFit="1" customWidth="1"/>
    <col min="3593" max="3593" width="14.28515625" style="16" bestFit="1" customWidth="1"/>
    <col min="3594" max="3594" width="14" style="16" bestFit="1" customWidth="1"/>
    <col min="3595" max="3595" width="20.7109375" style="16" bestFit="1" customWidth="1"/>
    <col min="3596" max="3596" width="11" style="16" customWidth="1"/>
    <col min="3597" max="3843" width="11.42578125" style="16"/>
    <col min="3844" max="3844" width="13.85546875" style="16" bestFit="1" customWidth="1"/>
    <col min="3845" max="3845" width="11.42578125" style="16" bestFit="1"/>
    <col min="3846" max="3847" width="14.42578125" style="16" bestFit="1" customWidth="1"/>
    <col min="3848" max="3848" width="14.140625" style="16" bestFit="1" customWidth="1"/>
    <col min="3849" max="3849" width="14.28515625" style="16" bestFit="1" customWidth="1"/>
    <col min="3850" max="3850" width="14" style="16" bestFit="1" customWidth="1"/>
    <col min="3851" max="3851" width="20.7109375" style="16" bestFit="1" customWidth="1"/>
    <col min="3852" max="3852" width="11" style="16" customWidth="1"/>
    <col min="3853" max="4099" width="11.42578125" style="16"/>
    <col min="4100" max="4100" width="13.85546875" style="16" bestFit="1" customWidth="1"/>
    <col min="4101" max="4101" width="11.42578125" style="16" bestFit="1"/>
    <col min="4102" max="4103" width="14.42578125" style="16" bestFit="1" customWidth="1"/>
    <col min="4104" max="4104" width="14.140625" style="16" bestFit="1" customWidth="1"/>
    <col min="4105" max="4105" width="14.28515625" style="16" bestFit="1" customWidth="1"/>
    <col min="4106" max="4106" width="14" style="16" bestFit="1" customWidth="1"/>
    <col min="4107" max="4107" width="20.7109375" style="16" bestFit="1" customWidth="1"/>
    <col min="4108" max="4108" width="11" style="16" customWidth="1"/>
    <col min="4109" max="4355" width="11.42578125" style="16"/>
    <col min="4356" max="4356" width="13.85546875" style="16" bestFit="1" customWidth="1"/>
    <col min="4357" max="4357" width="11.42578125" style="16" bestFit="1"/>
    <col min="4358" max="4359" width="14.42578125" style="16" bestFit="1" customWidth="1"/>
    <col min="4360" max="4360" width="14.140625" style="16" bestFit="1" customWidth="1"/>
    <col min="4361" max="4361" width="14.28515625" style="16" bestFit="1" customWidth="1"/>
    <col min="4362" max="4362" width="14" style="16" bestFit="1" customWidth="1"/>
    <col min="4363" max="4363" width="20.7109375" style="16" bestFit="1" customWidth="1"/>
    <col min="4364" max="4364" width="11" style="16" customWidth="1"/>
    <col min="4365" max="4611" width="11.42578125" style="16"/>
    <col min="4612" max="4612" width="13.85546875" style="16" bestFit="1" customWidth="1"/>
    <col min="4613" max="4613" width="11.42578125" style="16" bestFit="1"/>
    <col min="4614" max="4615" width="14.42578125" style="16" bestFit="1" customWidth="1"/>
    <col min="4616" max="4616" width="14.140625" style="16" bestFit="1" customWidth="1"/>
    <col min="4617" max="4617" width="14.28515625" style="16" bestFit="1" customWidth="1"/>
    <col min="4618" max="4618" width="14" style="16" bestFit="1" customWidth="1"/>
    <col min="4619" max="4619" width="20.7109375" style="16" bestFit="1" customWidth="1"/>
    <col min="4620" max="4620" width="11" style="16" customWidth="1"/>
    <col min="4621" max="4867" width="11.42578125" style="16"/>
    <col min="4868" max="4868" width="13.85546875" style="16" bestFit="1" customWidth="1"/>
    <col min="4869" max="4869" width="11.42578125" style="16" bestFit="1"/>
    <col min="4870" max="4871" width="14.42578125" style="16" bestFit="1" customWidth="1"/>
    <col min="4872" max="4872" width="14.140625" style="16" bestFit="1" customWidth="1"/>
    <col min="4873" max="4873" width="14.28515625" style="16" bestFit="1" customWidth="1"/>
    <col min="4874" max="4874" width="14" style="16" bestFit="1" customWidth="1"/>
    <col min="4875" max="4875" width="20.7109375" style="16" bestFit="1" customWidth="1"/>
    <col min="4876" max="4876" width="11" style="16" customWidth="1"/>
    <col min="4877" max="5123" width="11.42578125" style="16"/>
    <col min="5124" max="5124" width="13.85546875" style="16" bestFit="1" customWidth="1"/>
    <col min="5125" max="5125" width="11.42578125" style="16" bestFit="1"/>
    <col min="5126" max="5127" width="14.42578125" style="16" bestFit="1" customWidth="1"/>
    <col min="5128" max="5128" width="14.140625" style="16" bestFit="1" customWidth="1"/>
    <col min="5129" max="5129" width="14.28515625" style="16" bestFit="1" customWidth="1"/>
    <col min="5130" max="5130" width="14" style="16" bestFit="1" customWidth="1"/>
    <col min="5131" max="5131" width="20.7109375" style="16" bestFit="1" customWidth="1"/>
    <col min="5132" max="5132" width="11" style="16" customWidth="1"/>
    <col min="5133" max="5379" width="11.42578125" style="16"/>
    <col min="5380" max="5380" width="13.85546875" style="16" bestFit="1" customWidth="1"/>
    <col min="5381" max="5381" width="11.42578125" style="16" bestFit="1"/>
    <col min="5382" max="5383" width="14.42578125" style="16" bestFit="1" customWidth="1"/>
    <col min="5384" max="5384" width="14.140625" style="16" bestFit="1" customWidth="1"/>
    <col min="5385" max="5385" width="14.28515625" style="16" bestFit="1" customWidth="1"/>
    <col min="5386" max="5386" width="14" style="16" bestFit="1" customWidth="1"/>
    <col min="5387" max="5387" width="20.7109375" style="16" bestFit="1" customWidth="1"/>
    <col min="5388" max="5388" width="11" style="16" customWidth="1"/>
    <col min="5389" max="5635" width="11.42578125" style="16"/>
    <col min="5636" max="5636" width="13.85546875" style="16" bestFit="1" customWidth="1"/>
    <col min="5637" max="5637" width="11.42578125" style="16" bestFit="1"/>
    <col min="5638" max="5639" width="14.42578125" style="16" bestFit="1" customWidth="1"/>
    <col min="5640" max="5640" width="14.140625" style="16" bestFit="1" customWidth="1"/>
    <col min="5641" max="5641" width="14.28515625" style="16" bestFit="1" customWidth="1"/>
    <col min="5642" max="5642" width="14" style="16" bestFit="1" customWidth="1"/>
    <col min="5643" max="5643" width="20.7109375" style="16" bestFit="1" customWidth="1"/>
    <col min="5644" max="5644" width="11" style="16" customWidth="1"/>
    <col min="5645" max="5891" width="11.42578125" style="16"/>
    <col min="5892" max="5892" width="13.85546875" style="16" bestFit="1" customWidth="1"/>
    <col min="5893" max="5893" width="11.42578125" style="16" bestFit="1"/>
    <col min="5894" max="5895" width="14.42578125" style="16" bestFit="1" customWidth="1"/>
    <col min="5896" max="5896" width="14.140625" style="16" bestFit="1" customWidth="1"/>
    <col min="5897" max="5897" width="14.28515625" style="16" bestFit="1" customWidth="1"/>
    <col min="5898" max="5898" width="14" style="16" bestFit="1" customWidth="1"/>
    <col min="5899" max="5899" width="20.7109375" style="16" bestFit="1" customWidth="1"/>
    <col min="5900" max="5900" width="11" style="16" customWidth="1"/>
    <col min="5901" max="6147" width="11.42578125" style="16"/>
    <col min="6148" max="6148" width="13.85546875" style="16" bestFit="1" customWidth="1"/>
    <col min="6149" max="6149" width="11.42578125" style="16" bestFit="1"/>
    <col min="6150" max="6151" width="14.42578125" style="16" bestFit="1" customWidth="1"/>
    <col min="6152" max="6152" width="14.140625" style="16" bestFit="1" customWidth="1"/>
    <col min="6153" max="6153" width="14.28515625" style="16" bestFit="1" customWidth="1"/>
    <col min="6154" max="6154" width="14" style="16" bestFit="1" customWidth="1"/>
    <col min="6155" max="6155" width="20.7109375" style="16" bestFit="1" customWidth="1"/>
    <col min="6156" max="6156" width="11" style="16" customWidth="1"/>
    <col min="6157" max="6403" width="11.42578125" style="16"/>
    <col min="6404" max="6404" width="13.85546875" style="16" bestFit="1" customWidth="1"/>
    <col min="6405" max="6405" width="11.42578125" style="16" bestFit="1"/>
    <col min="6406" max="6407" width="14.42578125" style="16" bestFit="1" customWidth="1"/>
    <col min="6408" max="6408" width="14.140625" style="16" bestFit="1" customWidth="1"/>
    <col min="6409" max="6409" width="14.28515625" style="16" bestFit="1" customWidth="1"/>
    <col min="6410" max="6410" width="14" style="16" bestFit="1" customWidth="1"/>
    <col min="6411" max="6411" width="20.7109375" style="16" bestFit="1" customWidth="1"/>
    <col min="6412" max="6412" width="11" style="16" customWidth="1"/>
    <col min="6413" max="6659" width="11.42578125" style="16"/>
    <col min="6660" max="6660" width="13.85546875" style="16" bestFit="1" customWidth="1"/>
    <col min="6661" max="6661" width="11.42578125" style="16" bestFit="1"/>
    <col min="6662" max="6663" width="14.42578125" style="16" bestFit="1" customWidth="1"/>
    <col min="6664" max="6664" width="14.140625" style="16" bestFit="1" customWidth="1"/>
    <col min="6665" max="6665" width="14.28515625" style="16" bestFit="1" customWidth="1"/>
    <col min="6666" max="6666" width="14" style="16" bestFit="1" customWidth="1"/>
    <col min="6667" max="6667" width="20.7109375" style="16" bestFit="1" customWidth="1"/>
    <col min="6668" max="6668" width="11" style="16" customWidth="1"/>
    <col min="6669" max="6915" width="11.42578125" style="16"/>
    <col min="6916" max="6916" width="13.85546875" style="16" bestFit="1" customWidth="1"/>
    <col min="6917" max="6917" width="11.42578125" style="16" bestFit="1"/>
    <col min="6918" max="6919" width="14.42578125" style="16" bestFit="1" customWidth="1"/>
    <col min="6920" max="6920" width="14.140625" style="16" bestFit="1" customWidth="1"/>
    <col min="6921" max="6921" width="14.28515625" style="16" bestFit="1" customWidth="1"/>
    <col min="6922" max="6922" width="14" style="16" bestFit="1" customWidth="1"/>
    <col min="6923" max="6923" width="20.7109375" style="16" bestFit="1" customWidth="1"/>
    <col min="6924" max="6924" width="11" style="16" customWidth="1"/>
    <col min="6925" max="7171" width="11.42578125" style="16"/>
    <col min="7172" max="7172" width="13.85546875" style="16" bestFit="1" customWidth="1"/>
    <col min="7173" max="7173" width="11.42578125" style="16" bestFit="1"/>
    <col min="7174" max="7175" width="14.42578125" style="16" bestFit="1" customWidth="1"/>
    <col min="7176" max="7176" width="14.140625" style="16" bestFit="1" customWidth="1"/>
    <col min="7177" max="7177" width="14.28515625" style="16" bestFit="1" customWidth="1"/>
    <col min="7178" max="7178" width="14" style="16" bestFit="1" customWidth="1"/>
    <col min="7179" max="7179" width="20.7109375" style="16" bestFit="1" customWidth="1"/>
    <col min="7180" max="7180" width="11" style="16" customWidth="1"/>
    <col min="7181" max="7427" width="11.42578125" style="16"/>
    <col min="7428" max="7428" width="13.85546875" style="16" bestFit="1" customWidth="1"/>
    <col min="7429" max="7429" width="11.42578125" style="16" bestFit="1"/>
    <col min="7430" max="7431" width="14.42578125" style="16" bestFit="1" customWidth="1"/>
    <col min="7432" max="7432" width="14.140625" style="16" bestFit="1" customWidth="1"/>
    <col min="7433" max="7433" width="14.28515625" style="16" bestFit="1" customWidth="1"/>
    <col min="7434" max="7434" width="14" style="16" bestFit="1" customWidth="1"/>
    <col min="7435" max="7435" width="20.7109375" style="16" bestFit="1" customWidth="1"/>
    <col min="7436" max="7436" width="11" style="16" customWidth="1"/>
    <col min="7437" max="7683" width="11.42578125" style="16"/>
    <col min="7684" max="7684" width="13.85546875" style="16" bestFit="1" customWidth="1"/>
    <col min="7685" max="7685" width="11.42578125" style="16" bestFit="1"/>
    <col min="7686" max="7687" width="14.42578125" style="16" bestFit="1" customWidth="1"/>
    <col min="7688" max="7688" width="14.140625" style="16" bestFit="1" customWidth="1"/>
    <col min="7689" max="7689" width="14.28515625" style="16" bestFit="1" customWidth="1"/>
    <col min="7690" max="7690" width="14" style="16" bestFit="1" customWidth="1"/>
    <col min="7691" max="7691" width="20.7109375" style="16" bestFit="1" customWidth="1"/>
    <col min="7692" max="7692" width="11" style="16" customWidth="1"/>
    <col min="7693" max="7939" width="11.42578125" style="16"/>
    <col min="7940" max="7940" width="13.85546875" style="16" bestFit="1" customWidth="1"/>
    <col min="7941" max="7941" width="11.42578125" style="16" bestFit="1"/>
    <col min="7942" max="7943" width="14.42578125" style="16" bestFit="1" customWidth="1"/>
    <col min="7944" max="7944" width="14.140625" style="16" bestFit="1" customWidth="1"/>
    <col min="7945" max="7945" width="14.28515625" style="16" bestFit="1" customWidth="1"/>
    <col min="7946" max="7946" width="14" style="16" bestFit="1" customWidth="1"/>
    <col min="7947" max="7947" width="20.7109375" style="16" bestFit="1" customWidth="1"/>
    <col min="7948" max="7948" width="11" style="16" customWidth="1"/>
    <col min="7949" max="8195" width="11.42578125" style="16"/>
    <col min="8196" max="8196" width="13.85546875" style="16" bestFit="1" customWidth="1"/>
    <col min="8197" max="8197" width="11.42578125" style="16" bestFit="1"/>
    <col min="8198" max="8199" width="14.42578125" style="16" bestFit="1" customWidth="1"/>
    <col min="8200" max="8200" width="14.140625" style="16" bestFit="1" customWidth="1"/>
    <col min="8201" max="8201" width="14.28515625" style="16" bestFit="1" customWidth="1"/>
    <col min="8202" max="8202" width="14" style="16" bestFit="1" customWidth="1"/>
    <col min="8203" max="8203" width="20.7109375" style="16" bestFit="1" customWidth="1"/>
    <col min="8204" max="8204" width="11" style="16" customWidth="1"/>
    <col min="8205" max="8451" width="11.42578125" style="16"/>
    <col min="8452" max="8452" width="13.85546875" style="16" bestFit="1" customWidth="1"/>
    <col min="8453" max="8453" width="11.42578125" style="16" bestFit="1"/>
    <col min="8454" max="8455" width="14.42578125" style="16" bestFit="1" customWidth="1"/>
    <col min="8456" max="8456" width="14.140625" style="16" bestFit="1" customWidth="1"/>
    <col min="8457" max="8457" width="14.28515625" style="16" bestFit="1" customWidth="1"/>
    <col min="8458" max="8458" width="14" style="16" bestFit="1" customWidth="1"/>
    <col min="8459" max="8459" width="20.7109375" style="16" bestFit="1" customWidth="1"/>
    <col min="8460" max="8460" width="11" style="16" customWidth="1"/>
    <col min="8461" max="8707" width="11.42578125" style="16"/>
    <col min="8708" max="8708" width="13.85546875" style="16" bestFit="1" customWidth="1"/>
    <col min="8709" max="8709" width="11.42578125" style="16" bestFit="1"/>
    <col min="8710" max="8711" width="14.42578125" style="16" bestFit="1" customWidth="1"/>
    <col min="8712" max="8712" width="14.140625" style="16" bestFit="1" customWidth="1"/>
    <col min="8713" max="8713" width="14.28515625" style="16" bestFit="1" customWidth="1"/>
    <col min="8714" max="8714" width="14" style="16" bestFit="1" customWidth="1"/>
    <col min="8715" max="8715" width="20.7109375" style="16" bestFit="1" customWidth="1"/>
    <col min="8716" max="8716" width="11" style="16" customWidth="1"/>
    <col min="8717" max="8963" width="11.42578125" style="16"/>
    <col min="8964" max="8964" width="13.85546875" style="16" bestFit="1" customWidth="1"/>
    <col min="8965" max="8965" width="11.42578125" style="16" bestFit="1"/>
    <col min="8966" max="8967" width="14.42578125" style="16" bestFit="1" customWidth="1"/>
    <col min="8968" max="8968" width="14.140625" style="16" bestFit="1" customWidth="1"/>
    <col min="8969" max="8969" width="14.28515625" style="16" bestFit="1" customWidth="1"/>
    <col min="8970" max="8970" width="14" style="16" bestFit="1" customWidth="1"/>
    <col min="8971" max="8971" width="20.7109375" style="16" bestFit="1" customWidth="1"/>
    <col min="8972" max="8972" width="11" style="16" customWidth="1"/>
    <col min="8973" max="9219" width="11.42578125" style="16"/>
    <col min="9220" max="9220" width="13.85546875" style="16" bestFit="1" customWidth="1"/>
    <col min="9221" max="9221" width="11.42578125" style="16" bestFit="1"/>
    <col min="9222" max="9223" width="14.42578125" style="16" bestFit="1" customWidth="1"/>
    <col min="9224" max="9224" width="14.140625" style="16" bestFit="1" customWidth="1"/>
    <col min="9225" max="9225" width="14.28515625" style="16" bestFit="1" customWidth="1"/>
    <col min="9226" max="9226" width="14" style="16" bestFit="1" customWidth="1"/>
    <col min="9227" max="9227" width="20.7109375" style="16" bestFit="1" customWidth="1"/>
    <col min="9228" max="9228" width="11" style="16" customWidth="1"/>
    <col min="9229" max="9475" width="11.42578125" style="16"/>
    <col min="9476" max="9476" width="13.85546875" style="16" bestFit="1" customWidth="1"/>
    <col min="9477" max="9477" width="11.42578125" style="16" bestFit="1"/>
    <col min="9478" max="9479" width="14.42578125" style="16" bestFit="1" customWidth="1"/>
    <col min="9480" max="9480" width="14.140625" style="16" bestFit="1" customWidth="1"/>
    <col min="9481" max="9481" width="14.28515625" style="16" bestFit="1" customWidth="1"/>
    <col min="9482" max="9482" width="14" style="16" bestFit="1" customWidth="1"/>
    <col min="9483" max="9483" width="20.7109375" style="16" bestFit="1" customWidth="1"/>
    <col min="9484" max="9484" width="11" style="16" customWidth="1"/>
    <col min="9485" max="9731" width="11.42578125" style="16"/>
    <col min="9732" max="9732" width="13.85546875" style="16" bestFit="1" customWidth="1"/>
    <col min="9733" max="9733" width="11.42578125" style="16" bestFit="1"/>
    <col min="9734" max="9735" width="14.42578125" style="16" bestFit="1" customWidth="1"/>
    <col min="9736" max="9736" width="14.140625" style="16" bestFit="1" customWidth="1"/>
    <col min="9737" max="9737" width="14.28515625" style="16" bestFit="1" customWidth="1"/>
    <col min="9738" max="9738" width="14" style="16" bestFit="1" customWidth="1"/>
    <col min="9739" max="9739" width="20.7109375" style="16" bestFit="1" customWidth="1"/>
    <col min="9740" max="9740" width="11" style="16" customWidth="1"/>
    <col min="9741" max="9987" width="11.42578125" style="16"/>
    <col min="9988" max="9988" width="13.85546875" style="16" bestFit="1" customWidth="1"/>
    <col min="9989" max="9989" width="11.42578125" style="16" bestFit="1"/>
    <col min="9990" max="9991" width="14.42578125" style="16" bestFit="1" customWidth="1"/>
    <col min="9992" max="9992" width="14.140625" style="16" bestFit="1" customWidth="1"/>
    <col min="9993" max="9993" width="14.28515625" style="16" bestFit="1" customWidth="1"/>
    <col min="9994" max="9994" width="14" style="16" bestFit="1" customWidth="1"/>
    <col min="9995" max="9995" width="20.7109375" style="16" bestFit="1" customWidth="1"/>
    <col min="9996" max="9996" width="11" style="16" customWidth="1"/>
    <col min="9997" max="10243" width="11.42578125" style="16"/>
    <col min="10244" max="10244" width="13.85546875" style="16" bestFit="1" customWidth="1"/>
    <col min="10245" max="10245" width="11.42578125" style="16" bestFit="1"/>
    <col min="10246" max="10247" width="14.42578125" style="16" bestFit="1" customWidth="1"/>
    <col min="10248" max="10248" width="14.140625" style="16" bestFit="1" customWidth="1"/>
    <col min="10249" max="10249" width="14.28515625" style="16" bestFit="1" customWidth="1"/>
    <col min="10250" max="10250" width="14" style="16" bestFit="1" customWidth="1"/>
    <col min="10251" max="10251" width="20.7109375" style="16" bestFit="1" customWidth="1"/>
    <col min="10252" max="10252" width="11" style="16" customWidth="1"/>
    <col min="10253" max="10499" width="11.42578125" style="16"/>
    <col min="10500" max="10500" width="13.85546875" style="16" bestFit="1" customWidth="1"/>
    <col min="10501" max="10501" width="11.42578125" style="16" bestFit="1"/>
    <col min="10502" max="10503" width="14.42578125" style="16" bestFit="1" customWidth="1"/>
    <col min="10504" max="10504" width="14.140625" style="16" bestFit="1" customWidth="1"/>
    <col min="10505" max="10505" width="14.28515625" style="16" bestFit="1" customWidth="1"/>
    <col min="10506" max="10506" width="14" style="16" bestFit="1" customWidth="1"/>
    <col min="10507" max="10507" width="20.7109375" style="16" bestFit="1" customWidth="1"/>
    <col min="10508" max="10508" width="11" style="16" customWidth="1"/>
    <col min="10509" max="10755" width="11.42578125" style="16"/>
    <col min="10756" max="10756" width="13.85546875" style="16" bestFit="1" customWidth="1"/>
    <col min="10757" max="10757" width="11.42578125" style="16" bestFit="1"/>
    <col min="10758" max="10759" width="14.42578125" style="16" bestFit="1" customWidth="1"/>
    <col min="10760" max="10760" width="14.140625" style="16" bestFit="1" customWidth="1"/>
    <col min="10761" max="10761" width="14.28515625" style="16" bestFit="1" customWidth="1"/>
    <col min="10762" max="10762" width="14" style="16" bestFit="1" customWidth="1"/>
    <col min="10763" max="10763" width="20.7109375" style="16" bestFit="1" customWidth="1"/>
    <col min="10764" max="10764" width="11" style="16" customWidth="1"/>
    <col min="10765" max="11011" width="11.42578125" style="16"/>
    <col min="11012" max="11012" width="13.85546875" style="16" bestFit="1" customWidth="1"/>
    <col min="11013" max="11013" width="11.42578125" style="16" bestFit="1"/>
    <col min="11014" max="11015" width="14.42578125" style="16" bestFit="1" customWidth="1"/>
    <col min="11016" max="11016" width="14.140625" style="16" bestFit="1" customWidth="1"/>
    <col min="11017" max="11017" width="14.28515625" style="16" bestFit="1" customWidth="1"/>
    <col min="11018" max="11018" width="14" style="16" bestFit="1" customWidth="1"/>
    <col min="11019" max="11019" width="20.7109375" style="16" bestFit="1" customWidth="1"/>
    <col min="11020" max="11020" width="11" style="16" customWidth="1"/>
    <col min="11021" max="11267" width="11.42578125" style="16"/>
    <col min="11268" max="11268" width="13.85546875" style="16" bestFit="1" customWidth="1"/>
    <col min="11269" max="11269" width="11.42578125" style="16" bestFit="1"/>
    <col min="11270" max="11271" width="14.42578125" style="16" bestFit="1" customWidth="1"/>
    <col min="11272" max="11272" width="14.140625" style="16" bestFit="1" customWidth="1"/>
    <col min="11273" max="11273" width="14.28515625" style="16" bestFit="1" customWidth="1"/>
    <col min="11274" max="11274" width="14" style="16" bestFit="1" customWidth="1"/>
    <col min="11275" max="11275" width="20.7109375" style="16" bestFit="1" customWidth="1"/>
    <col min="11276" max="11276" width="11" style="16" customWidth="1"/>
    <col min="11277" max="11523" width="11.42578125" style="16"/>
    <col min="11524" max="11524" width="13.85546875" style="16" bestFit="1" customWidth="1"/>
    <col min="11525" max="11525" width="11.42578125" style="16" bestFit="1"/>
    <col min="11526" max="11527" width="14.42578125" style="16" bestFit="1" customWidth="1"/>
    <col min="11528" max="11528" width="14.140625" style="16" bestFit="1" customWidth="1"/>
    <col min="11529" max="11529" width="14.28515625" style="16" bestFit="1" customWidth="1"/>
    <col min="11530" max="11530" width="14" style="16" bestFit="1" customWidth="1"/>
    <col min="11531" max="11531" width="20.7109375" style="16" bestFit="1" customWidth="1"/>
    <col min="11532" max="11532" width="11" style="16" customWidth="1"/>
    <col min="11533" max="11779" width="11.42578125" style="16"/>
    <col min="11780" max="11780" width="13.85546875" style="16" bestFit="1" customWidth="1"/>
    <col min="11781" max="11781" width="11.42578125" style="16" bestFit="1"/>
    <col min="11782" max="11783" width="14.42578125" style="16" bestFit="1" customWidth="1"/>
    <col min="11784" max="11784" width="14.140625" style="16" bestFit="1" customWidth="1"/>
    <col min="11785" max="11785" width="14.28515625" style="16" bestFit="1" customWidth="1"/>
    <col min="11786" max="11786" width="14" style="16" bestFit="1" customWidth="1"/>
    <col min="11787" max="11787" width="20.7109375" style="16" bestFit="1" customWidth="1"/>
    <col min="11788" max="11788" width="11" style="16" customWidth="1"/>
    <col min="11789" max="12035" width="11.42578125" style="16"/>
    <col min="12036" max="12036" width="13.85546875" style="16" bestFit="1" customWidth="1"/>
    <col min="12037" max="12037" width="11.42578125" style="16" bestFit="1"/>
    <col min="12038" max="12039" width="14.42578125" style="16" bestFit="1" customWidth="1"/>
    <col min="12040" max="12040" width="14.140625" style="16" bestFit="1" customWidth="1"/>
    <col min="12041" max="12041" width="14.28515625" style="16" bestFit="1" customWidth="1"/>
    <col min="12042" max="12042" width="14" style="16" bestFit="1" customWidth="1"/>
    <col min="12043" max="12043" width="20.7109375" style="16" bestFit="1" customWidth="1"/>
    <col min="12044" max="12044" width="11" style="16" customWidth="1"/>
    <col min="12045" max="12291" width="11.42578125" style="16"/>
    <col min="12292" max="12292" width="13.85546875" style="16" bestFit="1" customWidth="1"/>
    <col min="12293" max="12293" width="11.42578125" style="16" bestFit="1"/>
    <col min="12294" max="12295" width="14.42578125" style="16" bestFit="1" customWidth="1"/>
    <col min="12296" max="12296" width="14.140625" style="16" bestFit="1" customWidth="1"/>
    <col min="12297" max="12297" width="14.28515625" style="16" bestFit="1" customWidth="1"/>
    <col min="12298" max="12298" width="14" style="16" bestFit="1" customWidth="1"/>
    <col min="12299" max="12299" width="20.7109375" style="16" bestFit="1" customWidth="1"/>
    <col min="12300" max="12300" width="11" style="16" customWidth="1"/>
    <col min="12301" max="12547" width="11.42578125" style="16"/>
    <col min="12548" max="12548" width="13.85546875" style="16" bestFit="1" customWidth="1"/>
    <col min="12549" max="12549" width="11.42578125" style="16" bestFit="1"/>
    <col min="12550" max="12551" width="14.42578125" style="16" bestFit="1" customWidth="1"/>
    <col min="12552" max="12552" width="14.140625" style="16" bestFit="1" customWidth="1"/>
    <col min="12553" max="12553" width="14.28515625" style="16" bestFit="1" customWidth="1"/>
    <col min="12554" max="12554" width="14" style="16" bestFit="1" customWidth="1"/>
    <col min="12555" max="12555" width="20.7109375" style="16" bestFit="1" customWidth="1"/>
    <col min="12556" max="12556" width="11" style="16" customWidth="1"/>
    <col min="12557" max="12803" width="11.42578125" style="16"/>
    <col min="12804" max="12804" width="13.85546875" style="16" bestFit="1" customWidth="1"/>
    <col min="12805" max="12805" width="11.42578125" style="16" bestFit="1"/>
    <col min="12806" max="12807" width="14.42578125" style="16" bestFit="1" customWidth="1"/>
    <col min="12808" max="12808" width="14.140625" style="16" bestFit="1" customWidth="1"/>
    <col min="12809" max="12809" width="14.28515625" style="16" bestFit="1" customWidth="1"/>
    <col min="12810" max="12810" width="14" style="16" bestFit="1" customWidth="1"/>
    <col min="12811" max="12811" width="20.7109375" style="16" bestFit="1" customWidth="1"/>
    <col min="12812" max="12812" width="11" style="16" customWidth="1"/>
    <col min="12813" max="13059" width="11.42578125" style="16"/>
    <col min="13060" max="13060" width="13.85546875" style="16" bestFit="1" customWidth="1"/>
    <col min="13061" max="13061" width="11.42578125" style="16" bestFit="1"/>
    <col min="13062" max="13063" width="14.42578125" style="16" bestFit="1" customWidth="1"/>
    <col min="13064" max="13064" width="14.140625" style="16" bestFit="1" customWidth="1"/>
    <col min="13065" max="13065" width="14.28515625" style="16" bestFit="1" customWidth="1"/>
    <col min="13066" max="13066" width="14" style="16" bestFit="1" customWidth="1"/>
    <col min="13067" max="13067" width="20.7109375" style="16" bestFit="1" customWidth="1"/>
    <col min="13068" max="13068" width="11" style="16" customWidth="1"/>
    <col min="13069" max="13315" width="11.42578125" style="16"/>
    <col min="13316" max="13316" width="13.85546875" style="16" bestFit="1" customWidth="1"/>
    <col min="13317" max="13317" width="11.42578125" style="16" bestFit="1"/>
    <col min="13318" max="13319" width="14.42578125" style="16" bestFit="1" customWidth="1"/>
    <col min="13320" max="13320" width="14.140625" style="16" bestFit="1" customWidth="1"/>
    <col min="13321" max="13321" width="14.28515625" style="16" bestFit="1" customWidth="1"/>
    <col min="13322" max="13322" width="14" style="16" bestFit="1" customWidth="1"/>
    <col min="13323" max="13323" width="20.7109375" style="16" bestFit="1" customWidth="1"/>
    <col min="13324" max="13324" width="11" style="16" customWidth="1"/>
    <col min="13325" max="13571" width="11.42578125" style="16"/>
    <col min="13572" max="13572" width="13.85546875" style="16" bestFit="1" customWidth="1"/>
    <col min="13573" max="13573" width="11.42578125" style="16" bestFit="1"/>
    <col min="13574" max="13575" width="14.42578125" style="16" bestFit="1" customWidth="1"/>
    <col min="13576" max="13576" width="14.140625" style="16" bestFit="1" customWidth="1"/>
    <col min="13577" max="13577" width="14.28515625" style="16" bestFit="1" customWidth="1"/>
    <col min="13578" max="13578" width="14" style="16" bestFit="1" customWidth="1"/>
    <col min="13579" max="13579" width="20.7109375" style="16" bestFit="1" customWidth="1"/>
    <col min="13580" max="13580" width="11" style="16" customWidth="1"/>
    <col min="13581" max="13827" width="11.42578125" style="16"/>
    <col min="13828" max="13828" width="13.85546875" style="16" bestFit="1" customWidth="1"/>
    <col min="13829" max="13829" width="11.42578125" style="16" bestFit="1"/>
    <col min="13830" max="13831" width="14.42578125" style="16" bestFit="1" customWidth="1"/>
    <col min="13832" max="13832" width="14.140625" style="16" bestFit="1" customWidth="1"/>
    <col min="13833" max="13833" width="14.28515625" style="16" bestFit="1" customWidth="1"/>
    <col min="13834" max="13834" width="14" style="16" bestFit="1" customWidth="1"/>
    <col min="13835" max="13835" width="20.7109375" style="16" bestFit="1" customWidth="1"/>
    <col min="13836" max="13836" width="11" style="16" customWidth="1"/>
    <col min="13837" max="14083" width="11.42578125" style="16"/>
    <col min="14084" max="14084" width="13.85546875" style="16" bestFit="1" customWidth="1"/>
    <col min="14085" max="14085" width="11.42578125" style="16" bestFit="1"/>
    <col min="14086" max="14087" width="14.42578125" style="16" bestFit="1" customWidth="1"/>
    <col min="14088" max="14088" width="14.140625" style="16" bestFit="1" customWidth="1"/>
    <col min="14089" max="14089" width="14.28515625" style="16" bestFit="1" customWidth="1"/>
    <col min="14090" max="14090" width="14" style="16" bestFit="1" customWidth="1"/>
    <col min="14091" max="14091" width="20.7109375" style="16" bestFit="1" customWidth="1"/>
    <col min="14092" max="14092" width="11" style="16" customWidth="1"/>
    <col min="14093" max="14339" width="11.42578125" style="16"/>
    <col min="14340" max="14340" width="13.85546875" style="16" bestFit="1" customWidth="1"/>
    <col min="14341" max="14341" width="11.42578125" style="16" bestFit="1"/>
    <col min="14342" max="14343" width="14.42578125" style="16" bestFit="1" customWidth="1"/>
    <col min="14344" max="14344" width="14.140625" style="16" bestFit="1" customWidth="1"/>
    <col min="14345" max="14345" width="14.28515625" style="16" bestFit="1" customWidth="1"/>
    <col min="14346" max="14346" width="14" style="16" bestFit="1" customWidth="1"/>
    <col min="14347" max="14347" width="20.7109375" style="16" bestFit="1" customWidth="1"/>
    <col min="14348" max="14348" width="11" style="16" customWidth="1"/>
    <col min="14349" max="14595" width="11.42578125" style="16"/>
    <col min="14596" max="14596" width="13.85546875" style="16" bestFit="1" customWidth="1"/>
    <col min="14597" max="14597" width="11.42578125" style="16" bestFit="1"/>
    <col min="14598" max="14599" width="14.42578125" style="16" bestFit="1" customWidth="1"/>
    <col min="14600" max="14600" width="14.140625" style="16" bestFit="1" customWidth="1"/>
    <col min="14601" max="14601" width="14.28515625" style="16" bestFit="1" customWidth="1"/>
    <col min="14602" max="14602" width="14" style="16" bestFit="1" customWidth="1"/>
    <col min="14603" max="14603" width="20.7109375" style="16" bestFit="1" customWidth="1"/>
    <col min="14604" max="14604" width="11" style="16" customWidth="1"/>
    <col min="14605" max="14851" width="11.42578125" style="16"/>
    <col min="14852" max="14852" width="13.85546875" style="16" bestFit="1" customWidth="1"/>
    <col min="14853" max="14853" width="11.42578125" style="16" bestFit="1"/>
    <col min="14854" max="14855" width="14.42578125" style="16" bestFit="1" customWidth="1"/>
    <col min="14856" max="14856" width="14.140625" style="16" bestFit="1" customWidth="1"/>
    <col min="14857" max="14857" width="14.28515625" style="16" bestFit="1" customWidth="1"/>
    <col min="14858" max="14858" width="14" style="16" bestFit="1" customWidth="1"/>
    <col min="14859" max="14859" width="20.7109375" style="16" bestFit="1" customWidth="1"/>
    <col min="14860" max="14860" width="11" style="16" customWidth="1"/>
    <col min="14861" max="15107" width="11.42578125" style="16"/>
    <col min="15108" max="15108" width="13.85546875" style="16" bestFit="1" customWidth="1"/>
    <col min="15109" max="15109" width="11.42578125" style="16" bestFit="1"/>
    <col min="15110" max="15111" width="14.42578125" style="16" bestFit="1" customWidth="1"/>
    <col min="15112" max="15112" width="14.140625" style="16" bestFit="1" customWidth="1"/>
    <col min="15113" max="15113" width="14.28515625" style="16" bestFit="1" customWidth="1"/>
    <col min="15114" max="15114" width="14" style="16" bestFit="1" customWidth="1"/>
    <col min="15115" max="15115" width="20.7109375" style="16" bestFit="1" customWidth="1"/>
    <col min="15116" max="15116" width="11" style="16" customWidth="1"/>
    <col min="15117" max="15363" width="11.42578125" style="16"/>
    <col min="15364" max="15364" width="13.85546875" style="16" bestFit="1" customWidth="1"/>
    <col min="15365" max="15365" width="11.42578125" style="16" bestFit="1"/>
    <col min="15366" max="15367" width="14.42578125" style="16" bestFit="1" customWidth="1"/>
    <col min="15368" max="15368" width="14.140625" style="16" bestFit="1" customWidth="1"/>
    <col min="15369" max="15369" width="14.28515625" style="16" bestFit="1" customWidth="1"/>
    <col min="15370" max="15370" width="14" style="16" bestFit="1" customWidth="1"/>
    <col min="15371" max="15371" width="20.7109375" style="16" bestFit="1" customWidth="1"/>
    <col min="15372" max="15372" width="11" style="16" customWidth="1"/>
    <col min="15373" max="15619" width="11.42578125" style="16"/>
    <col min="15620" max="15620" width="13.85546875" style="16" bestFit="1" customWidth="1"/>
    <col min="15621" max="15621" width="11.42578125" style="16" bestFit="1"/>
    <col min="15622" max="15623" width="14.42578125" style="16" bestFit="1" customWidth="1"/>
    <col min="15624" max="15624" width="14.140625" style="16" bestFit="1" customWidth="1"/>
    <col min="15625" max="15625" width="14.28515625" style="16" bestFit="1" customWidth="1"/>
    <col min="15626" max="15626" width="14" style="16" bestFit="1" customWidth="1"/>
    <col min="15627" max="15627" width="20.7109375" style="16" bestFit="1" customWidth="1"/>
    <col min="15628" max="15628" width="11" style="16" customWidth="1"/>
    <col min="15629" max="15875" width="11.42578125" style="16"/>
    <col min="15876" max="15876" width="13.85546875" style="16" bestFit="1" customWidth="1"/>
    <col min="15877" max="15877" width="11.42578125" style="16" bestFit="1"/>
    <col min="15878" max="15879" width="14.42578125" style="16" bestFit="1" customWidth="1"/>
    <col min="15880" max="15880" width="14.140625" style="16" bestFit="1" customWidth="1"/>
    <col min="15881" max="15881" width="14.28515625" style="16" bestFit="1" customWidth="1"/>
    <col min="15882" max="15882" width="14" style="16" bestFit="1" customWidth="1"/>
    <col min="15883" max="15883" width="20.7109375" style="16" bestFit="1" customWidth="1"/>
    <col min="15884" max="15884" width="11" style="16" customWidth="1"/>
    <col min="15885" max="16131" width="11.42578125" style="16"/>
    <col min="16132" max="16132" width="13.85546875" style="16" bestFit="1" customWidth="1"/>
    <col min="16133" max="16133" width="11.42578125" style="16" bestFit="1"/>
    <col min="16134" max="16135" width="14.42578125" style="16" bestFit="1" customWidth="1"/>
    <col min="16136" max="16136" width="14.140625" style="16" bestFit="1" customWidth="1"/>
    <col min="16137" max="16137" width="14.28515625" style="16" bestFit="1" customWidth="1"/>
    <col min="16138" max="16138" width="14" style="16" bestFit="1" customWidth="1"/>
    <col min="16139" max="16139" width="20.7109375" style="16" bestFit="1" customWidth="1"/>
    <col min="16140" max="16140" width="11" style="16" customWidth="1"/>
    <col min="16141" max="16384" width="11.42578125" style="16"/>
  </cols>
  <sheetData>
    <row r="1" spans="1:13" ht="15.75">
      <c r="B1" s="29"/>
      <c r="D1" s="29"/>
      <c r="E1" s="29"/>
      <c r="F1" s="28"/>
      <c r="G1" s="29"/>
      <c r="H1" s="28"/>
      <c r="I1" s="28"/>
      <c r="J1" s="28"/>
      <c r="K1" s="29"/>
      <c r="L1" s="28"/>
    </row>
    <row r="2" spans="1:13" ht="15.75">
      <c r="A2" s="27" t="s">
        <v>2</v>
      </c>
      <c r="B2" s="22" t="s">
        <v>17</v>
      </c>
      <c r="C2" s="22" t="s">
        <v>18</v>
      </c>
      <c r="D2" s="22" t="s">
        <v>19</v>
      </c>
      <c r="E2" s="22" t="s">
        <v>1</v>
      </c>
      <c r="F2" s="22" t="s">
        <v>0</v>
      </c>
      <c r="G2" s="47" t="s">
        <v>20</v>
      </c>
      <c r="H2" s="47" t="s">
        <v>21</v>
      </c>
      <c r="I2" s="47" t="s">
        <v>22</v>
      </c>
      <c r="J2" s="47" t="s">
        <v>23</v>
      </c>
      <c r="K2" s="47" t="s">
        <v>24</v>
      </c>
      <c r="L2" s="47"/>
      <c r="M2" s="47" t="s">
        <v>25</v>
      </c>
    </row>
    <row r="3" spans="1:13" ht="15.75">
      <c r="A3" s="22">
        <v>1927</v>
      </c>
      <c r="B3" s="22">
        <v>17.66</v>
      </c>
      <c r="C3" s="48">
        <v>0.61810000000000009</v>
      </c>
      <c r="D3" s="25">
        <v>3.5000000000000003E-2</v>
      </c>
      <c r="E3" s="26">
        <v>3.1699999999999999E-2</v>
      </c>
      <c r="F3" s="22"/>
      <c r="G3" s="49">
        <v>4.4600000000000001E-2</v>
      </c>
      <c r="H3" s="29"/>
      <c r="I3" s="50">
        <v>5.3200000000000004E-2</v>
      </c>
      <c r="J3" s="29"/>
      <c r="K3" s="22"/>
      <c r="L3" s="29"/>
    </row>
    <row r="4" spans="1:13" ht="15.75">
      <c r="A4" s="22">
        <v>1928</v>
      </c>
      <c r="B4" s="22">
        <v>24.35</v>
      </c>
      <c r="C4" s="48">
        <v>1.04705</v>
      </c>
      <c r="D4" s="25">
        <v>4.2999999999999997E-2</v>
      </c>
      <c r="E4" s="26">
        <v>3.4500000000000003E-2</v>
      </c>
      <c r="F4" s="25">
        <v>8.354708589799302E-3</v>
      </c>
      <c r="G4" s="49">
        <v>4.6100000000000002E-2</v>
      </c>
      <c r="H4" s="25">
        <v>3.279485596639467E-2</v>
      </c>
      <c r="I4" s="50">
        <v>5.5999999999999994E-2</v>
      </c>
      <c r="J4" s="51">
        <v>3.2195514702324381E-2</v>
      </c>
      <c r="K4" s="52">
        <v>1.4910639283360227E-2</v>
      </c>
      <c r="L4" s="53"/>
    </row>
    <row r="5" spans="1:13" ht="15.75">
      <c r="A5" s="22">
        <v>1929</v>
      </c>
      <c r="B5" s="22">
        <v>21.45</v>
      </c>
      <c r="C5" s="48">
        <v>0.87944999999999995</v>
      </c>
      <c r="D5" s="25">
        <v>4.1000000000000002E-2</v>
      </c>
      <c r="E5" s="26">
        <v>3.3599999999999998E-2</v>
      </c>
      <c r="F5" s="25">
        <v>4.2038041563204259E-2</v>
      </c>
      <c r="G5" s="49">
        <v>4.6699999999999998E-2</v>
      </c>
      <c r="H5" s="25">
        <v>4.1391804160856499E-2</v>
      </c>
      <c r="I5" s="50">
        <v>5.9500000000000004E-2</v>
      </c>
      <c r="J5" s="51">
        <v>3.0178562399040432E-2</v>
      </c>
      <c r="K5" s="52">
        <v>-2.0568074817057913E-2</v>
      </c>
      <c r="L5" s="53"/>
    </row>
    <row r="6" spans="1:13" ht="15.75">
      <c r="A6" s="22">
        <v>1930</v>
      </c>
      <c r="B6" s="22">
        <v>15.34</v>
      </c>
      <c r="C6" s="48">
        <v>0.72097999999999995</v>
      </c>
      <c r="D6" s="25">
        <v>4.7E-2</v>
      </c>
      <c r="E6" s="26">
        <v>3.2199999999999999E-2</v>
      </c>
      <c r="F6" s="25">
        <v>4.5409314348970366E-2</v>
      </c>
      <c r="G6" s="49">
        <v>4.5199999999999997E-2</v>
      </c>
      <c r="H6" s="25">
        <v>5.8557414353302785E-2</v>
      </c>
      <c r="I6" s="50">
        <v>6.7099999999999993E-2</v>
      </c>
      <c r="J6" s="51">
        <v>5.3978094648238287E-3</v>
      </c>
      <c r="K6" s="52">
        <v>-4.2999992762481454E-2</v>
      </c>
      <c r="L6" s="53"/>
    </row>
    <row r="7" spans="1:13" ht="15.75">
      <c r="A7" s="22">
        <v>1931</v>
      </c>
      <c r="B7" s="22">
        <v>8.1199999999999992</v>
      </c>
      <c r="C7" s="48">
        <v>0.49531999999999993</v>
      </c>
      <c r="D7" s="25">
        <v>6.0999999999999999E-2</v>
      </c>
      <c r="E7" s="26">
        <v>3.9300000000000002E-2</v>
      </c>
      <c r="F7" s="25">
        <v>-2.5588559619422531E-2</v>
      </c>
      <c r="G7" s="49">
        <v>5.3200000000000004E-2</v>
      </c>
      <c r="H7" s="25">
        <v>-1.5625061412875695E-2</v>
      </c>
      <c r="I7" s="50">
        <v>0.1042</v>
      </c>
      <c r="J7" s="51">
        <v>-0.15680775082667592</v>
      </c>
      <c r="K7" s="52">
        <v>-8.1504821861144605E-2</v>
      </c>
      <c r="L7" s="53"/>
    </row>
    <row r="8" spans="1:13" ht="15.75">
      <c r="A8" s="22">
        <v>1932</v>
      </c>
      <c r="B8" s="22">
        <v>6.92</v>
      </c>
      <c r="C8" s="48">
        <v>0.49823999999999996</v>
      </c>
      <c r="D8" s="25">
        <v>7.1999999999999995E-2</v>
      </c>
      <c r="E8" s="26">
        <v>3.3500000000000002E-2</v>
      </c>
      <c r="F8" s="25">
        <v>8.7903069904773257E-2</v>
      </c>
      <c r="G8" s="49">
        <v>4.5899999999999996E-2</v>
      </c>
      <c r="H8" s="25">
        <v>0.11070808430446419</v>
      </c>
      <c r="I8" s="50">
        <v>8.4199999999999997E-2</v>
      </c>
      <c r="J8" s="51">
        <v>0.23589601675740196</v>
      </c>
      <c r="K8" s="52">
        <v>-0.10466427716260551</v>
      </c>
      <c r="L8" s="53"/>
    </row>
    <row r="9" spans="1:13" ht="15.75">
      <c r="A9" s="22">
        <v>1933</v>
      </c>
      <c r="B9" s="22">
        <v>9.9700000000000006</v>
      </c>
      <c r="C9" s="48">
        <v>0.40877000000000002</v>
      </c>
      <c r="D9" s="25">
        <v>4.1000000000000002E-2</v>
      </c>
      <c r="E9" s="26">
        <v>3.5299999999999998E-2</v>
      </c>
      <c r="F9" s="25">
        <v>1.8552720891857361E-2</v>
      </c>
      <c r="G9" s="49">
        <v>4.4999999999999998E-2</v>
      </c>
      <c r="H9" s="25">
        <v>5.3021446359399149E-2</v>
      </c>
      <c r="I9" s="50">
        <v>7.7499999999999999E-2</v>
      </c>
      <c r="J9" s="51">
        <v>0.1296689369754826</v>
      </c>
      <c r="K9" s="52">
        <v>-3.8119480144119811E-2</v>
      </c>
      <c r="L9" s="53"/>
    </row>
    <row r="10" spans="1:13" ht="15.75">
      <c r="A10" s="22">
        <v>1934</v>
      </c>
      <c r="B10" s="22">
        <v>9.5</v>
      </c>
      <c r="C10" s="48">
        <v>0.35149999999999998</v>
      </c>
      <c r="D10" s="25">
        <v>3.6999999999999998E-2</v>
      </c>
      <c r="E10" s="26">
        <v>3.0099999999999998E-2</v>
      </c>
      <c r="F10" s="25">
        <v>7.9634426179656104E-2</v>
      </c>
      <c r="G10" s="49">
        <v>3.8100000000000002E-2</v>
      </c>
      <c r="H10" s="25">
        <v>0.10149829894135538</v>
      </c>
      <c r="I10" s="50">
        <v>6.2300000000000001E-2</v>
      </c>
      <c r="J10" s="51">
        <v>0.18816429268482648</v>
      </c>
      <c r="K10" s="52">
        <v>2.9062072752155554E-2</v>
      </c>
      <c r="L10" s="53"/>
    </row>
    <row r="11" spans="1:13" ht="15.75">
      <c r="A11" s="22">
        <v>1935</v>
      </c>
      <c r="B11" s="22">
        <v>13.43</v>
      </c>
      <c r="C11" s="48">
        <v>0.51034000000000002</v>
      </c>
      <c r="D11" s="25">
        <v>3.7999999999999999E-2</v>
      </c>
      <c r="E11" s="26">
        <v>2.8400000000000002E-2</v>
      </c>
      <c r="F11" s="25">
        <v>4.4720477296566127E-2</v>
      </c>
      <c r="G11" s="49">
        <v>3.44E-2</v>
      </c>
      <c r="H11" s="25">
        <v>6.896470928924045E-2</v>
      </c>
      <c r="I11" s="50">
        <v>5.2999999999999999E-2</v>
      </c>
      <c r="J11" s="51">
        <v>0.1330773186567917</v>
      </c>
      <c r="K11" s="52">
        <v>9.7658280630269045E-2</v>
      </c>
      <c r="L11" s="53"/>
    </row>
    <row r="12" spans="1:13" ht="15.75">
      <c r="A12" s="22">
        <v>1936</v>
      </c>
      <c r="B12" s="22">
        <v>17.18</v>
      </c>
      <c r="C12" s="48">
        <v>0.54</v>
      </c>
      <c r="D12" s="25">
        <v>3.1431897555296857E-2</v>
      </c>
      <c r="E12" s="26">
        <v>2.5899999999999999E-2</v>
      </c>
      <c r="F12" s="25">
        <v>5.0178754045450601E-2</v>
      </c>
      <c r="G12" s="49">
        <v>3.1E-2</v>
      </c>
      <c r="H12" s="25">
        <v>6.3255237498925046E-2</v>
      </c>
      <c r="I12" s="50">
        <v>4.53E-2</v>
      </c>
      <c r="J12" s="51">
        <v>0.11383815871922703</v>
      </c>
      <c r="K12" s="52">
        <v>3.218606694564885E-2</v>
      </c>
      <c r="L12" s="53"/>
    </row>
    <row r="13" spans="1:13" ht="15.75">
      <c r="A13" s="22">
        <v>1937</v>
      </c>
      <c r="B13" s="22">
        <v>10.55</v>
      </c>
      <c r="C13" s="48">
        <v>0.55915000000000004</v>
      </c>
      <c r="D13" s="25">
        <v>5.2999999999999999E-2</v>
      </c>
      <c r="E13" s="26">
        <v>2.7300000000000001E-2</v>
      </c>
      <c r="F13" s="25">
        <v>1.379146059646038E-2</v>
      </c>
      <c r="G13" s="49">
        <v>3.2099999999999997E-2</v>
      </c>
      <c r="H13" s="25">
        <v>2.1716541759769864E-2</v>
      </c>
      <c r="I13" s="50">
        <v>5.7300000000000004E-2</v>
      </c>
      <c r="J13" s="51">
        <v>-4.4161916839982614E-2</v>
      </c>
      <c r="K13" s="52">
        <v>2.563398183644594E-2</v>
      </c>
      <c r="L13" s="53"/>
    </row>
    <row r="14" spans="1:13" ht="15.75">
      <c r="A14" s="22">
        <v>1938</v>
      </c>
      <c r="B14" s="22">
        <v>13.14</v>
      </c>
      <c r="C14" s="48">
        <v>0.49931999999999999</v>
      </c>
      <c r="D14" s="25">
        <v>3.7999999999999999E-2</v>
      </c>
      <c r="E14" s="26">
        <v>2.5600000000000001E-2</v>
      </c>
      <c r="F14" s="25">
        <v>4.2132485322046068E-2</v>
      </c>
      <c r="G14" s="49">
        <v>3.0800000000000001E-2</v>
      </c>
      <c r="H14" s="25">
        <v>4.3144126500957093E-2</v>
      </c>
      <c r="I14" s="50">
        <v>5.2699999999999997E-2</v>
      </c>
      <c r="J14" s="51">
        <v>9.2358817136874202E-2</v>
      </c>
      <c r="K14" s="52">
        <v>-8.7369579068460324E-3</v>
      </c>
      <c r="L14" s="53"/>
    </row>
    <row r="15" spans="1:13" ht="15.75">
      <c r="A15" s="22">
        <v>1939</v>
      </c>
      <c r="B15" s="22">
        <v>12.46</v>
      </c>
      <c r="C15" s="48">
        <v>0.53578000000000003</v>
      </c>
      <c r="D15" s="25">
        <v>4.2999999999999997E-2</v>
      </c>
      <c r="E15" s="26">
        <v>2.35E-2</v>
      </c>
      <c r="F15" s="25">
        <v>4.4122613942060671E-2</v>
      </c>
      <c r="G15" s="49">
        <v>2.9399999999999999E-2</v>
      </c>
      <c r="H15" s="25">
        <v>4.2778935128661218E-2</v>
      </c>
      <c r="I15" s="50">
        <v>4.9200000000000001E-2</v>
      </c>
      <c r="J15" s="51">
        <v>7.9831377653461405E-2</v>
      </c>
      <c r="K15" s="52">
        <v>-1.3016038781753836E-2</v>
      </c>
      <c r="L15" s="53"/>
    </row>
    <row r="16" spans="1:13" ht="15.75">
      <c r="A16" s="22">
        <v>1940</v>
      </c>
      <c r="B16" s="22">
        <v>10.58</v>
      </c>
      <c r="C16" s="48">
        <v>0.55015999999999998</v>
      </c>
      <c r="D16" s="25">
        <v>5.1999999999999998E-2</v>
      </c>
      <c r="E16" s="26">
        <v>2.01E-2</v>
      </c>
      <c r="F16" s="25">
        <v>5.4024815962845509E-2</v>
      </c>
      <c r="G16" s="49">
        <v>2.7099999999999999E-2</v>
      </c>
      <c r="H16" s="25">
        <v>4.931305690287914E-2</v>
      </c>
      <c r="I16" s="50">
        <v>4.4500000000000005E-2</v>
      </c>
      <c r="J16" s="51">
        <v>8.6481371775829569E-2</v>
      </c>
      <c r="K16" s="52">
        <v>3.3066026593693287E-2</v>
      </c>
      <c r="L16" s="53"/>
    </row>
    <row r="17" spans="1:12" ht="15.75">
      <c r="A17" s="22">
        <v>1941</v>
      </c>
      <c r="B17" s="22">
        <v>8.69</v>
      </c>
      <c r="C17" s="48">
        <v>0.53877999999999993</v>
      </c>
      <c r="D17" s="25">
        <v>6.2E-2</v>
      </c>
      <c r="E17" s="26">
        <v>2.47E-2</v>
      </c>
      <c r="F17" s="25">
        <v>-2.0221975848580105E-2</v>
      </c>
      <c r="G17" s="49">
        <v>2.7999999999999997E-2</v>
      </c>
      <c r="H17" s="25">
        <v>1.9343859466896082E-2</v>
      </c>
      <c r="I17" s="50">
        <v>4.3799999999999999E-2</v>
      </c>
      <c r="J17" s="51">
        <v>5.0071728572759232E-2</v>
      </c>
      <c r="K17" s="52">
        <v>-8.3846170362722128E-2</v>
      </c>
      <c r="L17" s="53"/>
    </row>
    <row r="18" spans="1:12" ht="15.75">
      <c r="A18" s="22">
        <v>1942</v>
      </c>
      <c r="B18" s="22">
        <v>9.77</v>
      </c>
      <c r="C18" s="48">
        <v>0.58619999999999994</v>
      </c>
      <c r="D18" s="25">
        <v>0.06</v>
      </c>
      <c r="E18" s="26">
        <v>2.4899999999999999E-2</v>
      </c>
      <c r="F18" s="25">
        <v>2.2948682374484164E-2</v>
      </c>
      <c r="G18" s="49">
        <v>2.81E-2</v>
      </c>
      <c r="H18" s="25">
        <v>2.7138648440788254E-2</v>
      </c>
      <c r="I18" s="50">
        <v>4.2800000000000005E-2</v>
      </c>
      <c r="J18" s="51">
        <v>5.1799010426587015E-2</v>
      </c>
      <c r="K18" s="52">
        <v>3.3330352361186755E-2</v>
      </c>
      <c r="L18" s="53"/>
    </row>
    <row r="19" spans="1:12" ht="15.75">
      <c r="A19" s="22">
        <v>1943</v>
      </c>
      <c r="B19" s="22">
        <v>11.67</v>
      </c>
      <c r="C19" s="48">
        <v>0.54849000000000003</v>
      </c>
      <c r="D19" s="25">
        <v>4.7E-2</v>
      </c>
      <c r="E19" s="26">
        <v>2.4899999999999999E-2</v>
      </c>
      <c r="F19" s="25">
        <v>2.4899999999999999E-2</v>
      </c>
      <c r="G19" s="49">
        <v>2.7400000000000001E-2</v>
      </c>
      <c r="H19" s="25">
        <v>3.4151160322936289E-2</v>
      </c>
      <c r="I19" s="50">
        <v>3.8199999999999998E-2</v>
      </c>
      <c r="J19" s="51">
        <v>8.044670060105924E-2</v>
      </c>
      <c r="K19" s="52">
        <v>0.11446269728687652</v>
      </c>
      <c r="L19" s="53"/>
    </row>
    <row r="20" spans="1:12" ht="15.75">
      <c r="A20" s="22">
        <v>1944</v>
      </c>
      <c r="B20" s="22">
        <v>13.28</v>
      </c>
      <c r="C20" s="48">
        <v>0.61087999999999998</v>
      </c>
      <c r="D20" s="25">
        <v>4.5999999999999999E-2</v>
      </c>
      <c r="E20" s="26">
        <v>2.4799999999999999E-2</v>
      </c>
      <c r="F20" s="25">
        <v>2.5776111579070303E-2</v>
      </c>
      <c r="G20" s="49">
        <v>2.7000000000000003E-2</v>
      </c>
      <c r="H20" s="25">
        <v>3.0864921189784809E-2</v>
      </c>
      <c r="I20" s="50">
        <v>3.49E-2</v>
      </c>
      <c r="J20" s="51">
        <v>6.5658635882561697E-2</v>
      </c>
      <c r="K20" s="52">
        <v>0.16584229425872987</v>
      </c>
      <c r="L20" s="53"/>
    </row>
    <row r="21" spans="1:12" ht="15.75">
      <c r="A21" s="22">
        <v>1945</v>
      </c>
      <c r="B21" s="22">
        <v>17.36</v>
      </c>
      <c r="C21" s="48">
        <v>0.67703999999999998</v>
      </c>
      <c r="D21" s="25">
        <v>3.9E-2</v>
      </c>
      <c r="E21" s="26">
        <v>2.3300000000000001E-2</v>
      </c>
      <c r="F21" s="25">
        <v>3.8044173419237229E-2</v>
      </c>
      <c r="G21" s="49">
        <v>2.6099999999999998E-2</v>
      </c>
      <c r="H21" s="25">
        <v>3.4832273065963905E-2</v>
      </c>
      <c r="I21" s="50">
        <v>3.1E-2</v>
      </c>
      <c r="J21" s="51">
        <v>6.799865477817886E-2</v>
      </c>
      <c r="K21" s="52">
        <v>0.11777375604134543</v>
      </c>
      <c r="L21" s="53"/>
    </row>
    <row r="22" spans="1:12" ht="15.75">
      <c r="A22" s="22">
        <v>1946</v>
      </c>
      <c r="B22" s="22">
        <v>15.3</v>
      </c>
      <c r="C22" s="48">
        <v>0.59670000000000001</v>
      </c>
      <c r="D22" s="25">
        <v>3.9E-2</v>
      </c>
      <c r="E22" s="26">
        <v>2.24E-2</v>
      </c>
      <c r="F22" s="25">
        <v>3.1283745375695685E-2</v>
      </c>
      <c r="G22" s="49">
        <v>2.6099999999999998E-2</v>
      </c>
      <c r="H22" s="25">
        <v>2.6099999999999998E-2</v>
      </c>
      <c r="I22" s="50">
        <v>3.1699999999999999E-2</v>
      </c>
      <c r="J22" s="51">
        <v>2.5080329773195936E-2</v>
      </c>
      <c r="K22" s="52">
        <v>0.24101672397677776</v>
      </c>
      <c r="L22" s="53"/>
    </row>
    <row r="23" spans="1:12" ht="15.75">
      <c r="A23" s="22">
        <v>1947</v>
      </c>
      <c r="B23" s="22">
        <v>15.3</v>
      </c>
      <c r="C23" s="48">
        <v>0.79559999999999997</v>
      </c>
      <c r="D23" s="25">
        <v>5.1999999999999998E-2</v>
      </c>
      <c r="E23" s="26">
        <v>2.3900000000000001E-2</v>
      </c>
      <c r="F23" s="25">
        <v>9.1969680628322358E-3</v>
      </c>
      <c r="G23" s="49">
        <v>2.86E-2</v>
      </c>
      <c r="H23" s="25">
        <v>4.6213141975309652E-3</v>
      </c>
      <c r="I23" s="50">
        <v>3.5200000000000002E-2</v>
      </c>
      <c r="J23" s="51">
        <v>2.6212022665691934E-3</v>
      </c>
      <c r="K23" s="52">
        <v>0.21263835362429684</v>
      </c>
      <c r="L23" s="53"/>
    </row>
    <row r="24" spans="1:12" ht="15.75">
      <c r="A24" s="22">
        <v>1948</v>
      </c>
      <c r="B24" s="22">
        <v>15.2</v>
      </c>
      <c r="C24" s="48">
        <v>0.9728</v>
      </c>
      <c r="D24" s="25">
        <v>6.4000000000000001E-2</v>
      </c>
      <c r="E24" s="26">
        <v>2.4400000000000002E-2</v>
      </c>
      <c r="F24" s="25">
        <v>1.9510369413175046E-2</v>
      </c>
      <c r="G24" s="49">
        <v>2.7900000000000001E-2</v>
      </c>
      <c r="H24" s="25">
        <v>3.4635648938441663E-2</v>
      </c>
      <c r="I24" s="50">
        <v>3.5299999999999998E-2</v>
      </c>
      <c r="J24" s="51">
        <v>3.4369595605103213E-2</v>
      </c>
      <c r="K24" s="52">
        <v>2.058542944115116E-2</v>
      </c>
      <c r="L24" s="53"/>
    </row>
    <row r="25" spans="1:12" ht="15.75">
      <c r="A25" s="22">
        <v>1949</v>
      </c>
      <c r="B25" s="22">
        <v>16.79</v>
      </c>
      <c r="C25" s="48">
        <v>1.1920899999999999</v>
      </c>
      <c r="D25" s="25">
        <v>7.0999999999999994E-2</v>
      </c>
      <c r="E25" s="26">
        <v>2.1899999999999999E-2</v>
      </c>
      <c r="F25" s="25">
        <v>4.6634851827973139E-2</v>
      </c>
      <c r="G25" s="49">
        <v>2.58E-2</v>
      </c>
      <c r="H25" s="25">
        <v>4.6203589000967292E-2</v>
      </c>
      <c r="I25" s="50">
        <v>3.3099999999999997E-2</v>
      </c>
      <c r="J25" s="51">
        <v>5.3773011179658936E-2</v>
      </c>
      <c r="K25" s="52">
        <v>8.9371881572453127E-4</v>
      </c>
      <c r="L25" s="53"/>
    </row>
    <row r="26" spans="1:12" ht="15.75">
      <c r="A26" s="22">
        <v>1950</v>
      </c>
      <c r="B26" s="22">
        <v>20.43</v>
      </c>
      <c r="C26" s="48">
        <v>1.5322499999999999</v>
      </c>
      <c r="D26" s="25">
        <v>7.4999999999999997E-2</v>
      </c>
      <c r="E26" s="26">
        <v>2.3900000000000001E-2</v>
      </c>
      <c r="F26" s="25">
        <v>4.2959574171096103E-3</v>
      </c>
      <c r="G26" s="49">
        <v>2.6699999999999998E-2</v>
      </c>
      <c r="H26" s="25">
        <v>1.7991888160641522E-2</v>
      </c>
      <c r="I26" s="50">
        <v>3.2000000000000001E-2</v>
      </c>
      <c r="J26" s="51">
        <v>4.2388173056720914E-2</v>
      </c>
      <c r="K26" s="52">
        <v>3.6403899622157176E-2</v>
      </c>
      <c r="L26" s="53"/>
    </row>
    <row r="27" spans="1:12" ht="15.75">
      <c r="A27" s="22">
        <v>1951</v>
      </c>
      <c r="B27" s="22">
        <v>23.77</v>
      </c>
      <c r="C27" s="48">
        <v>1.4975099999999999</v>
      </c>
      <c r="D27" s="25">
        <v>6.3E-2</v>
      </c>
      <c r="E27" s="26">
        <v>2.7E-2</v>
      </c>
      <c r="F27" s="25">
        <v>-2.9531392208319886E-3</v>
      </c>
      <c r="G27" s="49">
        <v>3.0099999999999998E-2</v>
      </c>
      <c r="H27" s="25">
        <v>-2.2878940405443617E-3</v>
      </c>
      <c r="I27" s="50">
        <v>3.61E-2</v>
      </c>
      <c r="J27" s="51">
        <v>-1.9098091301369691E-3</v>
      </c>
      <c r="K27" s="52">
        <v>6.0476642095388611E-2</v>
      </c>
      <c r="L27" s="53"/>
    </row>
    <row r="28" spans="1:12" ht="15.75">
      <c r="A28" s="22">
        <v>1952</v>
      </c>
      <c r="B28" s="22">
        <v>26.57</v>
      </c>
      <c r="C28" s="48">
        <v>1.5144900000000001</v>
      </c>
      <c r="D28" s="25">
        <v>5.7000000000000002E-2</v>
      </c>
      <c r="E28" s="26">
        <v>2.75E-2</v>
      </c>
      <c r="F28" s="25">
        <v>2.2679961918305656E-2</v>
      </c>
      <c r="G28" s="49">
        <v>2.9700000000000001E-2</v>
      </c>
      <c r="H28" s="25">
        <v>3.3517311049082718E-2</v>
      </c>
      <c r="I28" s="50">
        <v>3.5099999999999999E-2</v>
      </c>
      <c r="J28" s="51">
        <v>4.4412415047400768E-2</v>
      </c>
      <c r="K28" s="52">
        <v>4.4066304183902893E-2</v>
      </c>
      <c r="L28" s="53"/>
    </row>
    <row r="29" spans="1:12" ht="15.75">
      <c r="A29" s="22">
        <v>1953</v>
      </c>
      <c r="B29" s="22">
        <v>24.81</v>
      </c>
      <c r="C29" s="48">
        <v>1.4389799999999999</v>
      </c>
      <c r="D29" s="25">
        <v>5.8000000000000003E-2</v>
      </c>
      <c r="E29" s="26">
        <v>2.5899999999999999E-2</v>
      </c>
      <c r="F29" s="25">
        <v>4.1438402589088513E-2</v>
      </c>
      <c r="G29" s="49">
        <v>3.1300000000000001E-2</v>
      </c>
      <c r="H29" s="25">
        <v>1.6141779106714601E-2</v>
      </c>
      <c r="I29" s="50">
        <v>3.7400000000000003E-2</v>
      </c>
      <c r="J29" s="51">
        <v>1.6201123818443276E-2</v>
      </c>
      <c r="K29" s="52">
        <v>0.11516624666555342</v>
      </c>
      <c r="L29" s="53"/>
    </row>
    <row r="30" spans="1:12" ht="15.75">
      <c r="A30" s="22">
        <v>1954</v>
      </c>
      <c r="B30" s="22">
        <v>35.979999999999997</v>
      </c>
      <c r="C30" s="48">
        <v>1.8709599999999997</v>
      </c>
      <c r="D30" s="25">
        <v>5.1999999999999998E-2</v>
      </c>
      <c r="E30" s="26">
        <v>2.5100000000000001E-2</v>
      </c>
      <c r="F30" s="25">
        <v>3.2898034558095555E-2</v>
      </c>
      <c r="G30" s="49">
        <v>2.8999999999999998E-2</v>
      </c>
      <c r="H30" s="25">
        <v>5.1019973661012748E-2</v>
      </c>
      <c r="I30" s="50">
        <v>3.4500000000000003E-2</v>
      </c>
      <c r="J30" s="51">
        <v>6.1579051817707856E-2</v>
      </c>
      <c r="K30" s="52">
        <v>9.2270580517745948E-3</v>
      </c>
      <c r="L30" s="53"/>
    </row>
    <row r="31" spans="1:12" ht="15.75">
      <c r="A31" s="22">
        <v>1955</v>
      </c>
      <c r="B31" s="22">
        <v>45.48</v>
      </c>
      <c r="C31" s="48">
        <v>2.2285200000000001</v>
      </c>
      <c r="D31" s="25">
        <v>4.9000000000000002E-2</v>
      </c>
      <c r="E31" s="26">
        <v>2.9600000000000001E-2</v>
      </c>
      <c r="F31" s="25">
        <v>-1.3364391288618781E-2</v>
      </c>
      <c r="G31" s="49">
        <v>3.15E-2</v>
      </c>
      <c r="H31" s="25">
        <v>7.8368165305447712E-3</v>
      </c>
      <c r="I31" s="50">
        <v>3.6200000000000003E-2</v>
      </c>
      <c r="J31" s="51">
        <v>2.044690004344954E-2</v>
      </c>
      <c r="K31" s="52">
        <v>0</v>
      </c>
      <c r="L31" s="53"/>
    </row>
    <row r="32" spans="1:12" ht="15.75">
      <c r="A32" s="22">
        <v>1956</v>
      </c>
      <c r="B32" s="22">
        <v>46.67</v>
      </c>
      <c r="C32" s="48">
        <v>2.1934900000000002</v>
      </c>
      <c r="D32" s="25">
        <v>4.7E-2</v>
      </c>
      <c r="E32" s="26">
        <v>3.5900000000000001E-2</v>
      </c>
      <c r="F32" s="25">
        <v>-2.2557738173154165E-2</v>
      </c>
      <c r="G32" s="49">
        <v>3.7499999999999999E-2</v>
      </c>
      <c r="H32" s="25">
        <v>-1.7776723510078835E-2</v>
      </c>
      <c r="I32" s="50">
        <v>4.3700000000000003E-2</v>
      </c>
      <c r="J32" s="51">
        <v>-2.3526541979620903E-2</v>
      </c>
      <c r="K32" s="52">
        <v>9.1426978479813847E-3</v>
      </c>
      <c r="L32" s="53"/>
    </row>
    <row r="33" spans="1:12" ht="15.75">
      <c r="A33" s="22">
        <v>1957</v>
      </c>
      <c r="B33" s="22">
        <v>39.99</v>
      </c>
      <c r="C33" s="48">
        <v>1.79955</v>
      </c>
      <c r="D33" s="25">
        <v>4.4999999999999998E-2</v>
      </c>
      <c r="E33" s="26">
        <v>3.2099999999999997E-2</v>
      </c>
      <c r="F33" s="25">
        <v>6.7970128466249904E-2</v>
      </c>
      <c r="G33" s="49">
        <v>3.8100000000000002E-2</v>
      </c>
      <c r="H33" s="25">
        <v>3.2587104439882129E-2</v>
      </c>
      <c r="I33" s="50">
        <v>5.0300000000000004E-2</v>
      </c>
      <c r="J33" s="51">
        <v>-7.1892844025423647E-3</v>
      </c>
      <c r="K33" s="52">
        <v>2.7180282449021931E-2</v>
      </c>
      <c r="L33" s="53"/>
    </row>
    <row r="34" spans="1:12" ht="15.75">
      <c r="A34" s="22">
        <v>1958</v>
      </c>
      <c r="B34" s="22">
        <v>55.21</v>
      </c>
      <c r="C34" s="48">
        <v>2.2636100000000003</v>
      </c>
      <c r="D34" s="25">
        <v>4.1000000000000002E-2</v>
      </c>
      <c r="E34" s="26">
        <v>3.8600000000000002E-2</v>
      </c>
      <c r="F34" s="25">
        <v>-2.0990181755274694E-2</v>
      </c>
      <c r="G34" s="49">
        <v>4.0800000000000003E-2</v>
      </c>
      <c r="H34" s="25">
        <v>1.6287536451366026E-2</v>
      </c>
      <c r="I34" s="50">
        <v>4.8499999999999995E-2</v>
      </c>
      <c r="J34" s="51">
        <v>6.4300928973360261E-2</v>
      </c>
      <c r="K34" s="52">
        <v>6.6154322364195828E-3</v>
      </c>
      <c r="L34" s="53"/>
    </row>
    <row r="35" spans="1:12" ht="15.75">
      <c r="A35" s="22">
        <v>1959</v>
      </c>
      <c r="B35" s="22">
        <v>59.89</v>
      </c>
      <c r="C35" s="48">
        <v>1.9763700000000002</v>
      </c>
      <c r="D35" s="25">
        <v>3.3000000000000002E-2</v>
      </c>
      <c r="E35" s="26">
        <v>4.6899999999999997E-2</v>
      </c>
      <c r="F35" s="25">
        <v>-2.6466312591385065E-2</v>
      </c>
      <c r="G35" s="49">
        <v>4.58E-2</v>
      </c>
      <c r="H35" s="25">
        <v>1.3915704024072828E-3</v>
      </c>
      <c r="I35" s="50">
        <v>5.28E-2</v>
      </c>
      <c r="J35" s="51">
        <v>1.5743430895022732E-2</v>
      </c>
      <c r="K35" s="52">
        <v>1.0951055527008702E-3</v>
      </c>
      <c r="L35" s="53"/>
    </row>
    <row r="36" spans="1:12" ht="15.75">
      <c r="A36" s="22">
        <v>1960</v>
      </c>
      <c r="B36" s="22">
        <v>58.11</v>
      </c>
      <c r="C36" s="48">
        <v>1.9815510000000001</v>
      </c>
      <c r="D36" s="25">
        <v>3.4099999999999998E-2</v>
      </c>
      <c r="E36" s="26">
        <v>3.8399999999999997E-2</v>
      </c>
      <c r="F36" s="25">
        <v>0.11639503690963365</v>
      </c>
      <c r="G36" s="49">
        <v>4.3499999999999997E-2</v>
      </c>
      <c r="H36" s="25">
        <v>6.4134222381996453E-2</v>
      </c>
      <c r="I36" s="50">
        <v>5.0999999999999997E-2</v>
      </c>
      <c r="J36" s="51">
        <v>6.6631871633034342E-2</v>
      </c>
      <c r="K36" s="52">
        <v>7.6586744032887122E-3</v>
      </c>
      <c r="L36" s="53"/>
    </row>
    <row r="37" spans="1:12" ht="15.75">
      <c r="A37" s="22">
        <v>1961</v>
      </c>
      <c r="B37" s="22">
        <v>71.55</v>
      </c>
      <c r="C37" s="48">
        <v>2.0391750000000002</v>
      </c>
      <c r="D37" s="25">
        <v>2.8500000000000004E-2</v>
      </c>
      <c r="E37" s="26">
        <v>4.0599999999999997E-2</v>
      </c>
      <c r="F37" s="25">
        <v>2.0609208076323167E-2</v>
      </c>
      <c r="G37" s="49">
        <v>4.4199999999999996E-2</v>
      </c>
      <c r="H37" s="25">
        <v>3.7939245798155677E-2</v>
      </c>
      <c r="I37" s="50">
        <v>5.0999999999999997E-2</v>
      </c>
      <c r="J37" s="51">
        <v>5.0999999999999997E-2</v>
      </c>
      <c r="K37" s="52">
        <v>9.7716517211834386E-3</v>
      </c>
      <c r="L37" s="53"/>
    </row>
    <row r="38" spans="1:12" ht="15.75">
      <c r="A38" s="22">
        <v>1962</v>
      </c>
      <c r="B38" s="22">
        <v>63.1</v>
      </c>
      <c r="C38" s="48">
        <v>2.1454</v>
      </c>
      <c r="D38" s="25">
        <v>3.3999999999999996E-2</v>
      </c>
      <c r="E38" s="26">
        <v>3.8600000000000002E-2</v>
      </c>
      <c r="F38" s="25">
        <v>5.693544054008462E-2</v>
      </c>
      <c r="G38" s="49">
        <v>4.24E-2</v>
      </c>
      <c r="H38" s="25">
        <v>5.8626733145309841E-2</v>
      </c>
      <c r="I38" s="50">
        <v>4.9200000000000001E-2</v>
      </c>
      <c r="J38" s="51">
        <v>6.4953279936065755E-2</v>
      </c>
      <c r="K38" s="52">
        <v>3.2259132567571402E-3</v>
      </c>
      <c r="L38" s="53"/>
    </row>
    <row r="39" spans="1:12" ht="15.75">
      <c r="A39" s="22">
        <v>1963</v>
      </c>
      <c r="B39" s="22">
        <v>75.02</v>
      </c>
      <c r="C39" s="48">
        <v>2.3481260000000002</v>
      </c>
      <c r="D39" s="25">
        <v>3.1300000000000001E-2</v>
      </c>
      <c r="E39" s="26">
        <v>4.1300000000000003E-2</v>
      </c>
      <c r="F39" s="25">
        <v>1.6841620739546127E-2</v>
      </c>
      <c r="G39" s="49">
        <v>4.3499999999999997E-2</v>
      </c>
      <c r="H39" s="25">
        <v>3.3631458860784454E-2</v>
      </c>
      <c r="I39" s="50">
        <v>4.8499999999999995E-2</v>
      </c>
      <c r="J39" s="51">
        <v>5.4644805711862345E-2</v>
      </c>
      <c r="K39" s="52">
        <v>2.1436503273133845E-2</v>
      </c>
      <c r="L39" s="53"/>
    </row>
    <row r="40" spans="1:12" ht="15.75">
      <c r="A40" s="22">
        <v>1964</v>
      </c>
      <c r="B40" s="22">
        <v>84.75</v>
      </c>
      <c r="C40" s="48">
        <v>2.5848749999999998</v>
      </c>
      <c r="D40" s="25">
        <v>3.0499999999999999E-2</v>
      </c>
      <c r="E40" s="26">
        <v>4.1799999999999997E-2</v>
      </c>
      <c r="F40" s="25">
        <v>3.7280648911540815E-2</v>
      </c>
      <c r="G40" s="49">
        <v>4.4400000000000002E-2</v>
      </c>
      <c r="H40" s="25">
        <v>3.6357498175775174E-2</v>
      </c>
      <c r="I40" s="50">
        <v>4.8099999999999997E-2</v>
      </c>
      <c r="J40" s="51">
        <v>5.1617392722850271E-2</v>
      </c>
      <c r="K40" s="52">
        <v>1.2591593946911894E-2</v>
      </c>
      <c r="L40" s="53"/>
    </row>
    <row r="41" spans="1:12" ht="15.75">
      <c r="A41" s="22">
        <v>1965</v>
      </c>
      <c r="B41" s="22">
        <v>92.43</v>
      </c>
      <c r="C41" s="48">
        <v>2.8283580000000001</v>
      </c>
      <c r="D41" s="25">
        <v>3.0599999999999999E-2</v>
      </c>
      <c r="E41" s="26">
        <v>4.6199999999999998E-2</v>
      </c>
      <c r="F41" s="25">
        <v>7.1885509359262342E-3</v>
      </c>
      <c r="G41" s="49">
        <v>4.6799999999999994E-2</v>
      </c>
      <c r="H41" s="25">
        <v>2.5576433994000343E-2</v>
      </c>
      <c r="I41" s="50">
        <v>5.0199999999999995E-2</v>
      </c>
      <c r="J41" s="51">
        <v>3.1900094622538809E-2</v>
      </c>
      <c r="K41" s="52">
        <v>1.658002301182071E-2</v>
      </c>
      <c r="L41" s="53"/>
    </row>
    <row r="42" spans="1:12" ht="15.75">
      <c r="A42" s="22">
        <v>1966</v>
      </c>
      <c r="B42" s="22">
        <v>80.33</v>
      </c>
      <c r="C42" s="48">
        <v>2.8838469999999998</v>
      </c>
      <c r="D42" s="25">
        <v>3.5900000000000001E-2</v>
      </c>
      <c r="E42" s="26">
        <v>4.8399999999999999E-2</v>
      </c>
      <c r="F42" s="25">
        <v>2.9079409324299622E-2</v>
      </c>
      <c r="G42" s="49">
        <v>5.3899999999999997E-2</v>
      </c>
      <c r="H42" s="25">
        <v>-7.0006457686958151E-3</v>
      </c>
      <c r="I42" s="50">
        <v>6.1799999999999994E-2</v>
      </c>
      <c r="J42" s="51">
        <v>-3.4453615975776369E-2</v>
      </c>
      <c r="K42" s="52">
        <v>1.2232822442514779E-2</v>
      </c>
      <c r="L42" s="53"/>
    </row>
    <row r="43" spans="1:12" ht="15.75">
      <c r="A43" s="22">
        <v>1967</v>
      </c>
      <c r="B43" s="22">
        <v>96.47</v>
      </c>
      <c r="C43" s="48">
        <v>2.9809230000000002</v>
      </c>
      <c r="D43" s="25">
        <v>3.0900000000000004E-2</v>
      </c>
      <c r="E43" s="26">
        <v>5.7000000000000002E-2</v>
      </c>
      <c r="F43" s="25">
        <v>-1.5806209932824666E-2</v>
      </c>
      <c r="G43" s="49">
        <v>6.1900000000000004E-2</v>
      </c>
      <c r="H43" s="25">
        <v>-4.4542767260931718E-3</v>
      </c>
      <c r="I43" s="50">
        <v>6.93E-2</v>
      </c>
      <c r="J43" s="51">
        <v>8.9522661484468247E-3</v>
      </c>
      <c r="K43" s="52">
        <v>2.3161882062522565E-2</v>
      </c>
      <c r="L43" s="53"/>
    </row>
    <row r="44" spans="1:12" ht="15.75">
      <c r="A44" s="22">
        <v>1968</v>
      </c>
      <c r="B44" s="22">
        <v>103.86</v>
      </c>
      <c r="C44" s="48">
        <v>3.0430980000000001</v>
      </c>
      <c r="D44" s="25">
        <v>2.93E-2</v>
      </c>
      <c r="E44" s="26">
        <v>6.0299999999999999E-2</v>
      </c>
      <c r="F44" s="25">
        <v>3.2746196950768365E-2</v>
      </c>
      <c r="G44" s="49">
        <v>6.4500000000000002E-2</v>
      </c>
      <c r="H44" s="25">
        <v>4.3165229057601943E-2</v>
      </c>
      <c r="I44" s="50">
        <v>7.2300000000000003E-2</v>
      </c>
      <c r="J44" s="51">
        <v>4.845146224309746E-2</v>
      </c>
      <c r="K44" s="52">
        <v>4.1338761655570933E-2</v>
      </c>
      <c r="L44" s="53"/>
    </row>
    <row r="45" spans="1:12" ht="15.75">
      <c r="A45" s="22">
        <v>1969</v>
      </c>
      <c r="B45" s="22">
        <v>92.06</v>
      </c>
      <c r="C45" s="48">
        <v>3.2405119999999998</v>
      </c>
      <c r="D45" s="25">
        <v>3.5199999999999995E-2</v>
      </c>
      <c r="E45" s="26">
        <v>7.6499999999999999E-2</v>
      </c>
      <c r="F45" s="25">
        <v>-5.0140493209926106E-2</v>
      </c>
      <c r="G45" s="49">
        <v>7.7199999999999991E-2</v>
      </c>
      <c r="H45" s="25">
        <v>-2.1804851328215524E-2</v>
      </c>
      <c r="I45" s="50">
        <v>8.6500000000000007E-2</v>
      </c>
      <c r="J45" s="51">
        <v>-2.0251642507921469E-2</v>
      </c>
      <c r="K45" s="52">
        <v>6.9943498504573487E-2</v>
      </c>
      <c r="L45" s="53"/>
    </row>
    <row r="46" spans="1:12" ht="15.75">
      <c r="A46" s="22">
        <v>1970</v>
      </c>
      <c r="B46" s="22">
        <v>92.15</v>
      </c>
      <c r="C46" s="48">
        <v>3.1883900000000001</v>
      </c>
      <c r="D46" s="25">
        <v>3.4599999999999999E-2</v>
      </c>
      <c r="E46" s="26">
        <v>6.3899999999999998E-2</v>
      </c>
      <c r="F46" s="25">
        <v>0.16754737183412338</v>
      </c>
      <c r="G46" s="49">
        <v>7.6399999999999996E-2</v>
      </c>
      <c r="H46" s="25">
        <v>8.2656333516766323E-2</v>
      </c>
      <c r="I46" s="50">
        <v>9.1199999999999989E-2</v>
      </c>
      <c r="J46" s="51">
        <v>5.6495676569888728E-2</v>
      </c>
      <c r="K46" s="52">
        <v>8.2154964403586828E-2</v>
      </c>
      <c r="L46" s="53"/>
    </row>
    <row r="47" spans="1:12" ht="15.75">
      <c r="A47" s="22">
        <v>1971</v>
      </c>
      <c r="B47" s="22">
        <v>102.09</v>
      </c>
      <c r="C47" s="48">
        <v>3.16479</v>
      </c>
      <c r="D47" s="25">
        <v>3.1E-2</v>
      </c>
      <c r="E47" s="26">
        <v>5.9299999999999999E-2</v>
      </c>
      <c r="F47" s="25">
        <v>9.7868966197122972E-2</v>
      </c>
      <c r="G47" s="49">
        <v>7.2499999999999995E-2</v>
      </c>
      <c r="H47" s="25">
        <v>0.10347820104742242</v>
      </c>
      <c r="I47" s="50">
        <v>8.3800000000000013E-2</v>
      </c>
      <c r="J47" s="51">
        <v>0.1400146617421994</v>
      </c>
      <c r="K47" s="52">
        <v>4.2449238297220138E-2</v>
      </c>
      <c r="L47" s="53"/>
    </row>
    <row r="48" spans="1:12" ht="15.75">
      <c r="A48" s="22">
        <v>1972</v>
      </c>
      <c r="B48" s="22">
        <v>118.05</v>
      </c>
      <c r="C48" s="48">
        <v>3.1873499999999999</v>
      </c>
      <c r="D48" s="25">
        <v>2.7E-2</v>
      </c>
      <c r="E48" s="26">
        <v>6.3600000000000004E-2</v>
      </c>
      <c r="F48" s="25">
        <v>2.818449050444969E-2</v>
      </c>
      <c r="G48" s="49">
        <v>7.0800000000000002E-2</v>
      </c>
      <c r="H48" s="25">
        <v>8.4396058968845042E-2</v>
      </c>
      <c r="I48" s="50">
        <v>7.9299999999999995E-2</v>
      </c>
      <c r="J48" s="51">
        <v>0.11409093579389698</v>
      </c>
      <c r="K48" s="52">
        <v>2.9757435694738765E-2</v>
      </c>
      <c r="L48" s="53"/>
    </row>
    <row r="49" spans="1:12" ht="15.75">
      <c r="A49" s="22">
        <v>1973</v>
      </c>
      <c r="B49" s="22">
        <v>97.55</v>
      </c>
      <c r="C49" s="48">
        <v>3.6093500000000001</v>
      </c>
      <c r="D49" s="25">
        <v>3.7000000000000005E-2</v>
      </c>
      <c r="E49" s="26">
        <v>6.7400000000000002E-2</v>
      </c>
      <c r="F49" s="25">
        <v>3.6586646024150085E-2</v>
      </c>
      <c r="G49" s="49">
        <v>7.6799999999999993E-2</v>
      </c>
      <c r="H49" s="25">
        <v>2.9951880508655077E-2</v>
      </c>
      <c r="I49" s="50">
        <v>8.48E-2</v>
      </c>
      <c r="J49" s="51">
        <v>4.3180404854323576E-2</v>
      </c>
      <c r="K49" s="52">
        <v>3.4220275692410596E-2</v>
      </c>
      <c r="L49" s="53"/>
    </row>
    <row r="50" spans="1:12" ht="15.75">
      <c r="A50" s="22">
        <v>1974</v>
      </c>
      <c r="B50" s="22">
        <v>68.56</v>
      </c>
      <c r="C50" s="48">
        <v>3.7228080000000001</v>
      </c>
      <c r="D50" s="25">
        <v>5.4300000000000001E-2</v>
      </c>
      <c r="E50" s="26">
        <v>7.4300000000000005E-2</v>
      </c>
      <c r="F50" s="25">
        <v>1.9886086932378574E-2</v>
      </c>
      <c r="G50" s="49">
        <v>8.8900000000000007E-2</v>
      </c>
      <c r="H50" s="25">
        <v>-1.2310591515394126E-3</v>
      </c>
      <c r="I50" s="50">
        <v>0.10630000000000001</v>
      </c>
      <c r="J50" s="51">
        <v>-4.3807197977191667E-2</v>
      </c>
      <c r="K50" s="52">
        <v>0.10073521479539305</v>
      </c>
      <c r="L50" s="53"/>
    </row>
    <row r="51" spans="1:12" ht="15.75">
      <c r="A51" s="22">
        <v>1975</v>
      </c>
      <c r="B51" s="22">
        <v>90.19</v>
      </c>
      <c r="C51" s="48">
        <v>3.7338659999999999</v>
      </c>
      <c r="D51" s="25">
        <v>4.1399999999999999E-2</v>
      </c>
      <c r="E51" s="26">
        <v>0.08</v>
      </c>
      <c r="F51" s="25">
        <v>3.6052536026033838E-2</v>
      </c>
      <c r="G51" s="49">
        <v>8.7899999999999992E-2</v>
      </c>
      <c r="H51" s="25">
        <v>9.5377407275910403E-2</v>
      </c>
      <c r="I51" s="50">
        <v>0.1056</v>
      </c>
      <c r="J51" s="51">
        <v>0.11049964074144952</v>
      </c>
      <c r="K51" s="52">
        <v>6.7575900936054811E-2</v>
      </c>
      <c r="L51" s="53"/>
    </row>
    <row r="52" spans="1:12" ht="15.75">
      <c r="A52" s="22">
        <v>1976</v>
      </c>
      <c r="B52" s="22">
        <v>107.46</v>
      </c>
      <c r="C52" s="48">
        <v>4.2231779999999999</v>
      </c>
      <c r="D52" s="25">
        <v>3.9300000000000002E-2</v>
      </c>
      <c r="E52" s="26">
        <v>6.8699999999999997E-2</v>
      </c>
      <c r="F52" s="25">
        <v>0.1598456074290921</v>
      </c>
      <c r="G52" s="49">
        <v>7.980000000000001E-2</v>
      </c>
      <c r="H52" s="25">
        <v>0.1423007238393551</v>
      </c>
      <c r="I52" s="50">
        <v>9.1199999999999989E-2</v>
      </c>
      <c r="J52" s="51">
        <v>0.19752813987098014</v>
      </c>
      <c r="K52" s="52">
        <v>8.1979599546656567E-2</v>
      </c>
      <c r="L52" s="53"/>
    </row>
    <row r="53" spans="1:12" ht="15.75">
      <c r="A53" s="22">
        <v>1977</v>
      </c>
      <c r="B53" s="22">
        <v>95.1</v>
      </c>
      <c r="C53" s="48">
        <v>4.85961</v>
      </c>
      <c r="D53" s="25">
        <v>5.11E-2</v>
      </c>
      <c r="E53" s="26">
        <v>7.6899999999999996E-2</v>
      </c>
      <c r="F53" s="25">
        <v>1.2899606071070449E-2</v>
      </c>
      <c r="G53" s="49">
        <v>8.1900000000000001E-2</v>
      </c>
      <c r="H53" s="25">
        <v>6.5828795102617438E-2</v>
      </c>
      <c r="I53" s="50">
        <v>8.9900000000000008E-2</v>
      </c>
      <c r="J53" s="51">
        <v>9.9546628520906386E-2</v>
      </c>
      <c r="K53" s="52">
        <v>0.14664804469273762</v>
      </c>
      <c r="L53" s="53"/>
    </row>
    <row r="54" spans="1:12" ht="15.75">
      <c r="A54" s="22">
        <v>1978</v>
      </c>
      <c r="B54" s="22">
        <v>96.11</v>
      </c>
      <c r="C54" s="48">
        <v>5.1803290000000004</v>
      </c>
      <c r="D54" s="25">
        <v>5.3900000000000003E-2</v>
      </c>
      <c r="E54" s="26">
        <v>9.01E-2</v>
      </c>
      <c r="F54" s="25">
        <v>-7.7758069075086478E-3</v>
      </c>
      <c r="G54" s="49">
        <v>9.1600000000000001E-2</v>
      </c>
      <c r="H54" s="25">
        <v>2.0084743079482631E-2</v>
      </c>
      <c r="I54" s="50">
        <v>9.9399999999999988E-2</v>
      </c>
      <c r="J54" s="51">
        <v>3.1375849771690861E-2</v>
      </c>
      <c r="K54" s="52">
        <v>0.15712545676004863</v>
      </c>
      <c r="L54" s="53"/>
    </row>
    <row r="55" spans="1:12" ht="15.75">
      <c r="A55" s="22">
        <v>1979</v>
      </c>
      <c r="B55" s="22">
        <v>107.94</v>
      </c>
      <c r="C55" s="48">
        <v>5.9690820000000002</v>
      </c>
      <c r="D55" s="25">
        <v>5.5300000000000002E-2</v>
      </c>
      <c r="E55" s="26">
        <v>0.10390000000000001</v>
      </c>
      <c r="F55" s="25">
        <v>6.7072031247235459E-3</v>
      </c>
      <c r="G55" s="49">
        <v>0.1074</v>
      </c>
      <c r="H55" s="25">
        <v>-2.4730935003710736E-3</v>
      </c>
      <c r="I55" s="50">
        <v>0.1206</v>
      </c>
      <c r="J55" s="51">
        <v>-2.0091101436615355E-2</v>
      </c>
      <c r="K55" s="52">
        <v>0.13736842105263158</v>
      </c>
      <c r="L55" s="53"/>
    </row>
    <row r="56" spans="1:12" ht="15.75">
      <c r="A56" s="22">
        <v>1980</v>
      </c>
      <c r="B56" s="22">
        <v>135.76</v>
      </c>
      <c r="C56" s="48">
        <v>6.4350240000000003</v>
      </c>
      <c r="D56" s="25">
        <v>4.7400000000000005E-2</v>
      </c>
      <c r="E56" s="26">
        <v>0.12839999999999999</v>
      </c>
      <c r="F56" s="25">
        <v>-2.989744251999403E-2</v>
      </c>
      <c r="G56" s="49">
        <v>0.1321</v>
      </c>
      <c r="H56" s="25">
        <v>-2.5510823097555202E-2</v>
      </c>
      <c r="I56" s="50">
        <v>0.15140000000000001</v>
      </c>
      <c r="J56" s="51">
        <v>-3.3156783371910456E-2</v>
      </c>
      <c r="K56" s="52">
        <v>7.4039796390559909E-2</v>
      </c>
      <c r="L56" s="53"/>
    </row>
    <row r="57" spans="1:12" ht="15.75">
      <c r="A57" s="22">
        <v>1981</v>
      </c>
      <c r="B57" s="22">
        <v>122.55</v>
      </c>
      <c r="C57" s="48">
        <v>6.8260350000000001</v>
      </c>
      <c r="D57" s="25">
        <v>5.57E-2</v>
      </c>
      <c r="E57" s="26">
        <v>0.13719999999999999</v>
      </c>
      <c r="F57" s="25">
        <v>8.1992153358923542E-2</v>
      </c>
      <c r="G57" s="49">
        <v>0.14230000000000001</v>
      </c>
      <c r="H57" s="25">
        <v>7.936976425152531E-2</v>
      </c>
      <c r="I57" s="50">
        <v>0.16550000000000001</v>
      </c>
      <c r="J57" s="51">
        <v>8.4623994808912056E-2</v>
      </c>
      <c r="K57" s="52">
        <v>5.0840155105557949E-2</v>
      </c>
      <c r="L57" s="53"/>
    </row>
    <row r="58" spans="1:12" ht="15.75">
      <c r="A58" s="22">
        <v>1982</v>
      </c>
      <c r="B58" s="22">
        <v>140.63999999999999</v>
      </c>
      <c r="C58" s="48">
        <v>6.9335519999999997</v>
      </c>
      <c r="D58" s="25">
        <v>4.9300000000000004E-2</v>
      </c>
      <c r="E58" s="26">
        <v>0.10539999999999999</v>
      </c>
      <c r="F58" s="25">
        <v>0.32814549486295586</v>
      </c>
      <c r="G58" s="49">
        <v>0.1183</v>
      </c>
      <c r="H58" s="25">
        <v>0.27885424288106153</v>
      </c>
      <c r="I58" s="50">
        <v>0.1414</v>
      </c>
      <c r="J58" s="51">
        <v>0.2905245565590866</v>
      </c>
      <c r="K58" s="52">
        <v>5.740057400573928E-3</v>
      </c>
      <c r="L58" s="53"/>
    </row>
    <row r="59" spans="1:12" ht="15.75">
      <c r="A59" s="22">
        <v>1983</v>
      </c>
      <c r="B59" s="22">
        <v>164.93</v>
      </c>
      <c r="C59" s="48">
        <v>7.1249760000000002</v>
      </c>
      <c r="D59" s="25">
        <v>4.3200000000000002E-2</v>
      </c>
      <c r="E59" s="26">
        <v>0.1183</v>
      </c>
      <c r="F59" s="25">
        <v>3.2002094451429264E-2</v>
      </c>
      <c r="G59" s="49">
        <v>0.12570000000000001</v>
      </c>
      <c r="H59" s="25">
        <v>7.7446147074418478E-2</v>
      </c>
      <c r="I59" s="50">
        <v>0.13750000000000001</v>
      </c>
      <c r="J59" s="51">
        <v>0.16194289622798366</v>
      </c>
      <c r="K59" s="52">
        <v>4.7492865878516088E-2</v>
      </c>
      <c r="L59" s="53"/>
    </row>
    <row r="60" spans="1:12" ht="15.75">
      <c r="A60" s="22">
        <v>1984</v>
      </c>
      <c r="B60" s="22">
        <v>167.24</v>
      </c>
      <c r="C60" s="48">
        <v>7.8268319999999996</v>
      </c>
      <c r="D60" s="25">
        <v>4.6799999999999994E-2</v>
      </c>
      <c r="E60" s="26">
        <v>0.115</v>
      </c>
      <c r="F60" s="25">
        <v>0.13733364344102345</v>
      </c>
      <c r="G60" s="49">
        <v>0.12130000000000001</v>
      </c>
      <c r="H60" s="25">
        <v>0.15042924074795624</v>
      </c>
      <c r="I60" s="50">
        <v>0.13400000000000001</v>
      </c>
      <c r="J60" s="51">
        <v>0.15619207332454216</v>
      </c>
      <c r="K60" s="52">
        <v>4.6701692936368833E-2</v>
      </c>
      <c r="L60" s="53"/>
    </row>
    <row r="61" spans="1:12" ht="15.75">
      <c r="A61" s="22">
        <v>1985</v>
      </c>
      <c r="B61" s="22">
        <v>211.28</v>
      </c>
      <c r="C61" s="48">
        <v>8.1976639999999996</v>
      </c>
      <c r="D61" s="25">
        <v>3.8800000000000001E-2</v>
      </c>
      <c r="E61" s="26">
        <v>9.2600000000000002E-2</v>
      </c>
      <c r="F61" s="25">
        <v>0.2571248821260641</v>
      </c>
      <c r="G61" s="49">
        <v>0.1016</v>
      </c>
      <c r="H61" s="25">
        <v>0.2415204152349289</v>
      </c>
      <c r="I61" s="50">
        <v>0.1158</v>
      </c>
      <c r="J61" s="51">
        <v>0.23862641849916477</v>
      </c>
      <c r="K61" s="52">
        <v>7.4735080870050208E-2</v>
      </c>
      <c r="L61" s="53"/>
    </row>
    <row r="62" spans="1:12" ht="15.75">
      <c r="A62" s="22">
        <v>1986</v>
      </c>
      <c r="B62" s="22">
        <v>242.17</v>
      </c>
      <c r="C62" s="48">
        <v>8.1853459999999991</v>
      </c>
      <c r="D62" s="25">
        <v>3.3799999999999997E-2</v>
      </c>
      <c r="E62" s="26">
        <v>7.1099999999999997E-2</v>
      </c>
      <c r="F62" s="25">
        <v>0.24284215141767618</v>
      </c>
      <c r="G62" s="49">
        <v>8.4900000000000003E-2</v>
      </c>
      <c r="H62" s="25">
        <v>0.21122335206274076</v>
      </c>
      <c r="I62" s="50">
        <v>9.9700000000000011E-2</v>
      </c>
      <c r="J62" s="51">
        <v>0.21485515309759495</v>
      </c>
      <c r="K62" s="52">
        <v>9.6177131984085618E-2</v>
      </c>
      <c r="L62" s="53"/>
    </row>
    <row r="63" spans="1:12" ht="15.75">
      <c r="A63" s="22">
        <v>1987</v>
      </c>
      <c r="B63" s="22">
        <v>247.08</v>
      </c>
      <c r="C63" s="48">
        <v>9.1666679999999996</v>
      </c>
      <c r="D63" s="25">
        <v>3.7099999999999994E-2</v>
      </c>
      <c r="E63" s="26">
        <v>8.9899999999999994E-2</v>
      </c>
      <c r="F63" s="25">
        <v>-4.9605089379262279E-2</v>
      </c>
      <c r="G63" s="49">
        <v>0.1011</v>
      </c>
      <c r="H63" s="25">
        <v>-1.4173339017619274E-2</v>
      </c>
      <c r="I63" s="50">
        <v>0.11289999999999999</v>
      </c>
      <c r="J63" s="51">
        <v>2.289846084276681E-2</v>
      </c>
      <c r="K63" s="25">
        <v>7.8700000000000006E-2</v>
      </c>
      <c r="L63" s="53"/>
    </row>
    <row r="64" spans="1:12" ht="15.75">
      <c r="A64" s="22">
        <v>1988</v>
      </c>
      <c r="B64" s="22">
        <v>277.72000000000003</v>
      </c>
      <c r="C64" s="48">
        <v>10.220096</v>
      </c>
      <c r="D64" s="25">
        <v>3.6799999999999992E-2</v>
      </c>
      <c r="E64" s="26">
        <v>9.11E-2</v>
      </c>
      <c r="F64" s="25">
        <v>8.2235958434841674E-2</v>
      </c>
      <c r="G64" s="49">
        <v>9.5700000000000007E-2</v>
      </c>
      <c r="H64" s="25">
        <v>0.13490255038073731</v>
      </c>
      <c r="I64" s="50">
        <v>0.1065</v>
      </c>
      <c r="J64" s="51">
        <v>0.15115070067120029</v>
      </c>
      <c r="K64" s="54">
        <v>7.2104600000000005E-2</v>
      </c>
      <c r="L64" s="53"/>
    </row>
    <row r="65" spans="1:16" ht="15.75">
      <c r="A65" s="22">
        <v>1989</v>
      </c>
      <c r="B65" s="22">
        <v>353.4</v>
      </c>
      <c r="C65" s="48">
        <v>11.73288</v>
      </c>
      <c r="D65" s="25">
        <v>3.32E-2</v>
      </c>
      <c r="E65" s="26">
        <v>7.8399999999999997E-2</v>
      </c>
      <c r="F65" s="25">
        <v>0.17693647159446219</v>
      </c>
      <c r="G65" s="49">
        <v>8.8599999999999998E-2</v>
      </c>
      <c r="H65" s="25">
        <v>0.14154750544747474</v>
      </c>
      <c r="I65" s="50">
        <v>9.820000000000001E-2</v>
      </c>
      <c r="J65" s="51">
        <v>0.15789666531437313</v>
      </c>
      <c r="K65" s="54">
        <v>4.3813399999999995E-2</v>
      </c>
      <c r="L65" s="53"/>
    </row>
    <row r="66" spans="1:16" ht="15.75">
      <c r="A66" s="22">
        <v>1990</v>
      </c>
      <c r="B66" s="22">
        <v>330.22</v>
      </c>
      <c r="C66" s="48">
        <v>12.350228</v>
      </c>
      <c r="D66" s="25">
        <v>3.7399999999999996E-2</v>
      </c>
      <c r="E66" s="26">
        <v>8.0799999999999997E-2</v>
      </c>
      <c r="F66" s="25">
        <v>6.2353753335533363E-2</v>
      </c>
      <c r="G66" s="49">
        <v>9.0500000000000011E-2</v>
      </c>
      <c r="H66" s="25">
        <v>7.6433240246967835E-2</v>
      </c>
      <c r="I66" s="50">
        <v>0.1043</v>
      </c>
      <c r="J66" s="51">
        <v>6.1400628860817041E-2</v>
      </c>
      <c r="K66" s="54">
        <v>-6.9674000000000003E-3</v>
      </c>
      <c r="L66" s="53"/>
    </row>
    <row r="67" spans="1:16" ht="15.75">
      <c r="A67" s="22">
        <v>1991</v>
      </c>
      <c r="B67" s="22">
        <v>417.09</v>
      </c>
      <c r="C67" s="48">
        <v>12.971499</v>
      </c>
      <c r="D67" s="25">
        <v>3.1100000000000003E-2</v>
      </c>
      <c r="E67" s="26">
        <v>7.0900000000000005E-2</v>
      </c>
      <c r="F67" s="25">
        <v>0.15004510019517303</v>
      </c>
      <c r="G67" s="49">
        <v>8.3100000000000007E-2</v>
      </c>
      <c r="H67" s="25">
        <v>0.13946773002644575</v>
      </c>
      <c r="I67" s="50">
        <v>9.2600000000000002E-2</v>
      </c>
      <c r="J67" s="51">
        <v>0.17853487146763175</v>
      </c>
      <c r="K67" s="54">
        <v>-1.7638999999999999E-3</v>
      </c>
      <c r="L67" s="53"/>
    </row>
    <row r="68" spans="1:16" ht="15.75">
      <c r="A68" s="22">
        <v>1992</v>
      </c>
      <c r="B68" s="22">
        <v>435.71</v>
      </c>
      <c r="C68" s="48">
        <v>12.635590000000001</v>
      </c>
      <c r="D68" s="25">
        <v>2.9000000000000001E-2</v>
      </c>
      <c r="E68" s="26">
        <v>6.7699999999999996E-2</v>
      </c>
      <c r="F68" s="25">
        <v>9.3616373162079422E-2</v>
      </c>
      <c r="G68" s="49">
        <v>7.980000000000001E-2</v>
      </c>
      <c r="H68" s="25">
        <v>0.10526325786047802</v>
      </c>
      <c r="I68" s="50">
        <v>8.8100000000000012E-2</v>
      </c>
      <c r="J68" s="51">
        <v>0.12172255869896652</v>
      </c>
      <c r="K68" s="54">
        <v>8.360600000000001E-3</v>
      </c>
      <c r="L68" s="53"/>
    </row>
    <row r="69" spans="1:16" ht="15.75">
      <c r="A69" s="22">
        <v>1993</v>
      </c>
      <c r="B69" s="22">
        <v>466.45</v>
      </c>
      <c r="C69" s="48">
        <v>12.68744</v>
      </c>
      <c r="D69" s="25">
        <v>2.7200000000000002E-2</v>
      </c>
      <c r="E69" s="26">
        <v>5.7700000000000001E-2</v>
      </c>
      <c r="F69" s="25">
        <v>0.14210957589263107</v>
      </c>
      <c r="G69" s="49">
        <v>6.93E-2</v>
      </c>
      <c r="H69" s="25">
        <v>0.15378682739217445</v>
      </c>
      <c r="I69" s="50">
        <v>7.690000000000001E-2</v>
      </c>
      <c r="J69" s="51">
        <v>0.16431517219561104</v>
      </c>
      <c r="K69" s="54">
        <v>2.1617500000000001E-2</v>
      </c>
      <c r="L69" s="53"/>
    </row>
    <row r="70" spans="1:16" ht="15.75">
      <c r="A70" s="22">
        <v>1994</v>
      </c>
      <c r="B70" s="22">
        <v>459.27</v>
      </c>
      <c r="C70" s="48">
        <v>13.364757000000001</v>
      </c>
      <c r="D70" s="25">
        <v>2.9100000000000004E-2</v>
      </c>
      <c r="E70" s="26">
        <v>7.8100000000000003E-2</v>
      </c>
      <c r="F70" s="25">
        <v>-8.0366555509985921E-2</v>
      </c>
      <c r="G70" s="49">
        <v>8.4600000000000009E-2</v>
      </c>
      <c r="H70" s="25">
        <v>-3.1267791342206058E-2</v>
      </c>
      <c r="I70" s="50">
        <v>9.0999999999999998E-2</v>
      </c>
      <c r="J70" s="51">
        <v>-1.3192033475710699E-2</v>
      </c>
      <c r="K70" s="54">
        <v>2.51539E-2</v>
      </c>
      <c r="L70" s="53"/>
    </row>
    <row r="71" spans="1:16" ht="15.75">
      <c r="A71" s="22">
        <v>1995</v>
      </c>
      <c r="B71" s="22">
        <v>615.92999999999995</v>
      </c>
      <c r="C71" s="48">
        <v>14.16639</v>
      </c>
      <c r="D71" s="25">
        <v>2.3000000000000003E-2</v>
      </c>
      <c r="E71" s="26">
        <v>5.7099999999999998E-2</v>
      </c>
      <c r="F71" s="25">
        <v>0.23480780112538907</v>
      </c>
      <c r="G71" s="49">
        <v>6.8199999999999997E-2</v>
      </c>
      <c r="H71" s="25">
        <v>0.20075128768093986</v>
      </c>
      <c r="I71" s="50">
        <v>7.4900000000000008E-2</v>
      </c>
      <c r="J71" s="51">
        <v>0.20156218170640219</v>
      </c>
      <c r="K71" s="54">
        <v>1.8081E-2</v>
      </c>
      <c r="L71" s="53"/>
    </row>
    <row r="72" spans="1:16" ht="15.75">
      <c r="A72" s="22">
        <v>1996</v>
      </c>
      <c r="B72" s="22">
        <v>740.74</v>
      </c>
      <c r="C72" s="48">
        <v>14.888873999999999</v>
      </c>
      <c r="D72" s="25">
        <v>2.01E-2</v>
      </c>
      <c r="E72" s="26">
        <v>6.3E-2</v>
      </c>
      <c r="F72" s="25">
        <v>1.428607793401844E-2</v>
      </c>
      <c r="G72" s="49">
        <v>7.2000000000000008E-2</v>
      </c>
      <c r="H72" s="25">
        <v>4.1755398514910128E-2</v>
      </c>
      <c r="I72" s="50">
        <v>7.8899999999999998E-2</v>
      </c>
      <c r="J72" s="51">
        <v>4.79259941944115E-2</v>
      </c>
      <c r="K72" s="54">
        <v>2.4309500000000001E-2</v>
      </c>
      <c r="L72" s="53"/>
    </row>
    <row r="73" spans="1:16" ht="15.75">
      <c r="A73" s="22">
        <v>1997</v>
      </c>
      <c r="B73" s="22">
        <v>970.43</v>
      </c>
      <c r="C73" s="48">
        <v>15.522</v>
      </c>
      <c r="D73" s="25">
        <v>1.5994971301381864E-2</v>
      </c>
      <c r="E73" s="26">
        <v>5.8099999999999999E-2</v>
      </c>
      <c r="F73" s="25">
        <v>9.939130272977531E-2</v>
      </c>
      <c r="G73" s="49">
        <v>6.7599999999999993E-2</v>
      </c>
      <c r="H73" s="25">
        <v>0.10324953852843505</v>
      </c>
      <c r="I73" s="50">
        <v>7.3200000000000001E-2</v>
      </c>
      <c r="J73" s="51">
        <v>0.11834887244426365</v>
      </c>
      <c r="K73" s="54">
        <v>4.0256699999999999E-2</v>
      </c>
      <c r="L73" s="53"/>
    </row>
    <row r="74" spans="1:16" ht="15.75">
      <c r="A74" s="22">
        <v>1998</v>
      </c>
      <c r="B74" s="22">
        <v>1229.23</v>
      </c>
      <c r="C74" s="48">
        <v>16.2</v>
      </c>
      <c r="D74" s="25">
        <v>1.3178981964319126E-2</v>
      </c>
      <c r="E74" s="26">
        <v>4.65E-2</v>
      </c>
      <c r="F74" s="25">
        <v>0.14921431922606215</v>
      </c>
      <c r="G74" s="49">
        <v>6.2199999999999998E-2</v>
      </c>
      <c r="H74" s="25">
        <v>0.10693347379601403</v>
      </c>
      <c r="I74" s="50">
        <v>7.2300000000000003E-2</v>
      </c>
      <c r="J74" s="51">
        <v>7.9454561327070808E-2</v>
      </c>
      <c r="K74" s="54">
        <v>6.4379099999999995E-2</v>
      </c>
      <c r="L74" s="53"/>
    </row>
    <row r="75" spans="1:16" ht="15.75">
      <c r="A75" s="22">
        <v>1999</v>
      </c>
      <c r="B75" s="22">
        <v>1469.25</v>
      </c>
      <c r="C75" s="48">
        <v>16.709</v>
      </c>
      <c r="D75" s="25">
        <v>1.1372468946741534E-2</v>
      </c>
      <c r="E75" s="26">
        <v>6.4399999999999999E-2</v>
      </c>
      <c r="F75" s="25">
        <v>-8.2542147962685761E-2</v>
      </c>
      <c r="G75" s="49">
        <v>7.5499999999999998E-2</v>
      </c>
      <c r="H75" s="25">
        <v>-2.8884217714904938E-2</v>
      </c>
      <c r="I75" s="50">
        <v>8.1900000000000001E-2</v>
      </c>
      <c r="J75" s="51">
        <v>8.4316347548218651E-3</v>
      </c>
      <c r="K75" s="54">
        <v>7.6868999999999993E-2</v>
      </c>
      <c r="L75" s="53"/>
    </row>
    <row r="76" spans="1:16" s="28" customFormat="1" ht="15.75">
      <c r="A76" s="22">
        <v>2000</v>
      </c>
      <c r="B76" s="22">
        <v>1320.28</v>
      </c>
      <c r="C76" s="22">
        <v>16.27</v>
      </c>
      <c r="D76" s="26">
        <v>1.2323143575605175E-2</v>
      </c>
      <c r="E76" s="26">
        <v>5.11E-2</v>
      </c>
      <c r="F76" s="25">
        <v>0.16655267125397488</v>
      </c>
      <c r="G76" s="49">
        <v>7.2099999999999997E-2</v>
      </c>
      <c r="H76" s="25">
        <v>9.9150079408874534E-2</v>
      </c>
      <c r="I76" s="50">
        <v>8.0199999999999994E-2</v>
      </c>
      <c r="J76" s="51">
        <v>9.3296855210372037E-2</v>
      </c>
      <c r="K76" s="54">
        <v>9.2541499999999999E-2</v>
      </c>
      <c r="L76" s="53"/>
      <c r="P76" s="16"/>
    </row>
    <row r="77" spans="1:16" ht="15.75">
      <c r="A77" s="22">
        <v>2001</v>
      </c>
      <c r="B77" s="22">
        <v>1148.0899999999999</v>
      </c>
      <c r="C77" s="22">
        <v>15.74</v>
      </c>
      <c r="D77" s="26">
        <v>1.3709726589378883E-2</v>
      </c>
      <c r="E77" s="26">
        <v>5.0500000000000003E-2</v>
      </c>
      <c r="F77" s="25">
        <v>5.5721811892492555E-2</v>
      </c>
      <c r="G77" s="49">
        <v>6.7699999999999996E-2</v>
      </c>
      <c r="H77" s="25">
        <v>0.10333501309785936</v>
      </c>
      <c r="I77" s="50">
        <v>8.0500000000000002E-2</v>
      </c>
      <c r="J77" s="51">
        <v>7.8191507542878236E-2</v>
      </c>
      <c r="K77" s="54">
        <v>6.6769599999999998E-2</v>
      </c>
      <c r="L77" s="53"/>
    </row>
    <row r="78" spans="1:16" s="29" customFormat="1" ht="15.75">
      <c r="A78" s="22">
        <v>2002</v>
      </c>
      <c r="B78" s="22">
        <v>879.82</v>
      </c>
      <c r="C78" s="22">
        <v>16.079999999999998</v>
      </c>
      <c r="D78" s="26">
        <v>1.8276465640699232E-2</v>
      </c>
      <c r="E78" s="26">
        <v>3.8199999999999998E-2</v>
      </c>
      <c r="F78" s="25">
        <v>0.15116400378109285</v>
      </c>
      <c r="G78" s="49">
        <v>6.2100000000000002E-2</v>
      </c>
      <c r="H78" s="25">
        <v>0.10850949683905776</v>
      </c>
      <c r="I78" s="50">
        <v>7.4499999999999997E-2</v>
      </c>
      <c r="J78" s="51">
        <v>0.12177867693975485</v>
      </c>
      <c r="K78" s="54">
        <v>9.5591799999999991E-2</v>
      </c>
      <c r="L78" s="53"/>
      <c r="P78" s="16"/>
    </row>
    <row r="79" spans="1:16" ht="15.75">
      <c r="A79" s="22">
        <v>2003</v>
      </c>
      <c r="B79" s="22">
        <v>1111.9100000000001</v>
      </c>
      <c r="C79" s="22">
        <v>17.39</v>
      </c>
      <c r="D79" s="26">
        <v>1.5639755016143394E-2</v>
      </c>
      <c r="E79" s="26">
        <v>4.2500000000000003E-2</v>
      </c>
      <c r="F79" s="25">
        <v>3.7531858817758529E-3</v>
      </c>
      <c r="G79" s="49">
        <v>5.62E-2</v>
      </c>
      <c r="H79" s="25">
        <v>0.10631712772928155</v>
      </c>
      <c r="I79" s="50">
        <v>6.6000000000000003E-2</v>
      </c>
      <c r="J79" s="51">
        <v>0.13532012096857571</v>
      </c>
      <c r="K79" s="54">
        <v>9.8167500000000005E-2</v>
      </c>
      <c r="L79" s="53"/>
    </row>
    <row r="80" spans="1:16" s="55" customFormat="1" ht="15.75">
      <c r="A80" s="22">
        <v>2004</v>
      </c>
      <c r="B80" s="22">
        <v>1211.92</v>
      </c>
      <c r="C80" s="22">
        <v>19.440000000000001</v>
      </c>
      <c r="D80" s="26">
        <v>1.6040662750016504E-2</v>
      </c>
      <c r="E80" s="26">
        <v>4.2200000000000001E-2</v>
      </c>
      <c r="F80" s="25">
        <v>4.490683702274547E-2</v>
      </c>
      <c r="G80" s="49">
        <v>5.4699999999999999E-2</v>
      </c>
      <c r="H80" s="25">
        <v>6.752272621099295E-2</v>
      </c>
      <c r="I80" s="50">
        <v>6.1500000000000006E-2</v>
      </c>
      <c r="J80" s="51">
        <v>9.888628408721839E-2</v>
      </c>
      <c r="K80" s="54">
        <v>0.1363799</v>
      </c>
      <c r="L80" s="53"/>
      <c r="P80" s="16"/>
    </row>
    <row r="81" spans="1:16" s="17" customFormat="1" ht="15.75">
      <c r="A81" s="22">
        <v>2005</v>
      </c>
      <c r="B81" s="22">
        <v>1248.29</v>
      </c>
      <c r="C81" s="48">
        <v>22.22</v>
      </c>
      <c r="D81" s="26">
        <v>1.7800350880003844E-2</v>
      </c>
      <c r="E81" s="26">
        <v>4.3900000000000002E-2</v>
      </c>
      <c r="F81" s="25">
        <v>2.8675329597779506E-2</v>
      </c>
      <c r="G81" s="49">
        <v>5.3699999999999998E-2</v>
      </c>
      <c r="H81" s="25">
        <v>6.2284850132659414E-2</v>
      </c>
      <c r="I81" s="50">
        <v>6.3200000000000006E-2</v>
      </c>
      <c r="J81" s="51">
        <v>4.9175379871695298E-2</v>
      </c>
      <c r="K81" s="54">
        <v>0.13510630000000001</v>
      </c>
      <c r="L81" s="53"/>
      <c r="P81" s="16"/>
    </row>
    <row r="82" spans="1:16" ht="15.75">
      <c r="A82" s="22">
        <v>2006</v>
      </c>
      <c r="B82" s="22">
        <v>1418.3</v>
      </c>
      <c r="C82" s="22">
        <v>24.88</v>
      </c>
      <c r="D82" s="26">
        <v>1.7542127899598109E-2</v>
      </c>
      <c r="E82" s="26">
        <v>4.7E-2</v>
      </c>
      <c r="F82" s="25">
        <v>1.9610012417568386E-2</v>
      </c>
      <c r="G82" s="49">
        <v>5.3200000000000004E-2</v>
      </c>
      <c r="H82" s="25">
        <v>5.7501566338304638E-2</v>
      </c>
      <c r="I82" s="50">
        <v>6.2199999999999998E-2</v>
      </c>
      <c r="J82" s="51">
        <v>7.048397662889147E-2</v>
      </c>
      <c r="K82" s="54">
        <v>1.73391E-2</v>
      </c>
      <c r="L82" s="53"/>
    </row>
    <row r="83" spans="1:16" ht="15.75">
      <c r="A83" s="22">
        <v>2007</v>
      </c>
      <c r="B83" s="56">
        <v>1468.36</v>
      </c>
      <c r="C83" s="22">
        <v>27.73</v>
      </c>
      <c r="D83" s="23">
        <v>1.8885014574082652E-2</v>
      </c>
      <c r="E83" s="23">
        <v>4.02E-2</v>
      </c>
      <c r="F83" s="25">
        <v>0.10209921930012807</v>
      </c>
      <c r="G83" s="49">
        <v>5.4900000000000004E-2</v>
      </c>
      <c r="H83" s="25">
        <v>4.0379887520205361E-2</v>
      </c>
      <c r="I83" s="50">
        <v>6.6500000000000004E-2</v>
      </c>
      <c r="J83" s="51">
        <v>3.1503861528055586E-2</v>
      </c>
      <c r="K83" s="54">
        <v>-5.3974099999999997E-2</v>
      </c>
      <c r="L83" s="53"/>
    </row>
    <row r="84" spans="1:16" ht="15.75">
      <c r="A84" s="22">
        <v>2008</v>
      </c>
      <c r="B84" s="22">
        <v>903.25</v>
      </c>
      <c r="C84" s="22">
        <v>28.39</v>
      </c>
      <c r="D84" s="26">
        <v>3.1430943814004984E-2</v>
      </c>
      <c r="E84" s="23">
        <v>2.2100000000000002E-2</v>
      </c>
      <c r="F84" s="25">
        <v>0.20101279926977011</v>
      </c>
      <c r="G84" s="49">
        <v>5.0499999999999996E-2</v>
      </c>
      <c r="H84" s="25">
        <v>8.8793287211613336E-2</v>
      </c>
      <c r="I84" s="50">
        <v>8.43E-2</v>
      </c>
      <c r="J84" s="51">
        <v>-5.0657146287488741E-2</v>
      </c>
      <c r="K84" s="54">
        <v>-0.1199508</v>
      </c>
      <c r="L84" s="53"/>
    </row>
    <row r="85" spans="1:16" ht="15.75">
      <c r="A85" s="22">
        <v>2009</v>
      </c>
      <c r="B85" s="22">
        <v>1115.0999999999999</v>
      </c>
      <c r="C85" s="22">
        <v>22.41</v>
      </c>
      <c r="D85" s="26">
        <v>2.0096852300242132E-2</v>
      </c>
      <c r="E85" s="23">
        <v>3.8399999999999997E-2</v>
      </c>
      <c r="F85" s="25">
        <v>-0.11116695313259162</v>
      </c>
      <c r="G85" s="49">
        <v>5.2600000000000001E-2</v>
      </c>
      <c r="H85" s="25">
        <v>3.4487164237994035E-2</v>
      </c>
      <c r="I85" s="50">
        <v>6.3700000000000007E-2</v>
      </c>
      <c r="J85" s="51">
        <v>0.23329502491661896</v>
      </c>
      <c r="K85" s="54">
        <v>-3.8537399999999999E-2</v>
      </c>
      <c r="L85" s="53"/>
    </row>
    <row r="86" spans="1:16" ht="15.75">
      <c r="A86" s="22">
        <v>2010</v>
      </c>
      <c r="B86" s="22">
        <v>1257.6400000000001</v>
      </c>
      <c r="C86" s="22">
        <v>22.73</v>
      </c>
      <c r="D86" s="26">
        <v>1.8073534556788905E-2</v>
      </c>
      <c r="E86" s="23">
        <v>3.2899999999999999E-2</v>
      </c>
      <c r="F86" s="18">
        <v>8.4629338803557719E-2</v>
      </c>
      <c r="G86" s="49">
        <v>5.0199999999999995E-2</v>
      </c>
      <c r="H86" s="25">
        <v>7.1114177574241461E-2</v>
      </c>
      <c r="I86" s="50">
        <v>6.0999999999999999E-2</v>
      </c>
      <c r="J86" s="51">
        <v>8.3478423659066131E-2</v>
      </c>
      <c r="K86" s="54">
        <v>-4.1166099999999997E-2</v>
      </c>
      <c r="L86" s="57"/>
    </row>
    <row r="87" spans="1:16" ht="15.75">
      <c r="A87" s="22">
        <v>2011</v>
      </c>
      <c r="B87" s="22">
        <v>1257.5999999999999</v>
      </c>
      <c r="C87" s="22">
        <v>26.43</v>
      </c>
      <c r="D87" s="26">
        <v>2.1016221374045803E-2</v>
      </c>
      <c r="E87" s="23">
        <v>1.8800000000000001E-2</v>
      </c>
      <c r="F87" s="18">
        <v>0.16035334999461354</v>
      </c>
      <c r="G87" s="49">
        <v>3.9300000000000002E-2</v>
      </c>
      <c r="H87" s="25">
        <v>0.13891764786643732</v>
      </c>
      <c r="I87" s="50">
        <v>5.2499999999999998E-2</v>
      </c>
      <c r="J87" s="51">
        <v>0.12584514401372299</v>
      </c>
      <c r="K87" s="54">
        <v>-3.8958699999999999E-2</v>
      </c>
      <c r="L87" s="57"/>
    </row>
    <row r="88" spans="1:16" ht="15.75">
      <c r="A88" s="22">
        <v>2012</v>
      </c>
      <c r="B88" s="22">
        <v>1426.19</v>
      </c>
      <c r="C88" s="22">
        <v>31.25</v>
      </c>
      <c r="D88" s="26">
        <v>2.1911526514700005E-2</v>
      </c>
      <c r="E88" s="23">
        <v>1.7600000000000001E-2</v>
      </c>
      <c r="F88" s="18">
        <v>2.971571978018946E-2</v>
      </c>
      <c r="G88" s="49">
        <v>3.6499999999999998E-2</v>
      </c>
      <c r="H88" s="25">
        <v>6.2411426212648391E-2</v>
      </c>
      <c r="I88" s="50">
        <v>4.6300000000000001E-2</v>
      </c>
      <c r="J88" s="51">
        <v>0.10124677875843502</v>
      </c>
      <c r="K88" s="54">
        <v>6.4502799999999999E-2</v>
      </c>
      <c r="L88" s="57"/>
    </row>
    <row r="89" spans="1:16" ht="15.75">
      <c r="A89" s="22">
        <v>2013</v>
      </c>
      <c r="B89" s="22">
        <v>1848.36</v>
      </c>
      <c r="C89" s="22">
        <v>36.28</v>
      </c>
      <c r="D89" s="26">
        <v>1.962821095457595E-2</v>
      </c>
      <c r="E89" s="23">
        <v>3.0360000000000002E-2</v>
      </c>
      <c r="F89" s="18">
        <v>-9.104568794347262E-2</v>
      </c>
      <c r="G89" s="49">
        <v>4.6199999999999998E-2</v>
      </c>
      <c r="H89" s="25">
        <v>-3.9802512709435224E-2</v>
      </c>
      <c r="I89" s="50">
        <v>5.3800000000000001E-2</v>
      </c>
      <c r="J89" s="51">
        <v>-1.0559012069494618E-2</v>
      </c>
      <c r="K89" s="54">
        <v>0.10713469999999999</v>
      </c>
      <c r="L89" s="57"/>
    </row>
    <row r="90" spans="1:16" ht="15.75">
      <c r="A90" s="22">
        <v>2014</v>
      </c>
      <c r="B90" s="58">
        <v>2058.9</v>
      </c>
      <c r="C90" s="59">
        <v>39.44</v>
      </c>
      <c r="D90" s="26">
        <v>1.9155859925202776E-2</v>
      </c>
      <c r="E90" s="24">
        <v>2.1700000000000001E-2</v>
      </c>
      <c r="F90" s="18">
        <v>0.10746180452004755</v>
      </c>
      <c r="G90" s="49">
        <v>3.7900000000000003E-2</v>
      </c>
      <c r="H90" s="25">
        <v>0.11422975731840276</v>
      </c>
      <c r="I90" s="50">
        <v>4.7400000000000005E-2</v>
      </c>
      <c r="J90" s="51">
        <v>0.10384907822030469</v>
      </c>
      <c r="K90" s="54">
        <v>4.52071E-2</v>
      </c>
      <c r="L90" s="57"/>
    </row>
    <row r="91" spans="1:16" ht="15.75">
      <c r="A91" s="22">
        <v>2015</v>
      </c>
      <c r="B91" s="22">
        <v>2043.9</v>
      </c>
      <c r="C91" s="48">
        <v>43.39</v>
      </c>
      <c r="D91" s="26">
        <v>2.1229022946328096E-2</v>
      </c>
      <c r="E91" s="23">
        <v>2.2700000000000001E-2</v>
      </c>
      <c r="F91" s="18">
        <v>1.2842996709792224E-2</v>
      </c>
      <c r="G91" s="49">
        <v>3.9699999999999999E-2</v>
      </c>
      <c r="H91" s="25">
        <v>2.3278559508915733E-2</v>
      </c>
      <c r="I91" s="50">
        <v>5.4600000000000003E-2</v>
      </c>
      <c r="J91" s="51">
        <v>-6.9751836790324859E-3</v>
      </c>
      <c r="K91" s="54">
        <v>5.2189300000000001E-2</v>
      </c>
      <c r="L91" s="57"/>
    </row>
    <row r="92" spans="1:16" ht="15.75">
      <c r="A92" s="22">
        <v>2016</v>
      </c>
      <c r="B92" s="22">
        <v>2238.83</v>
      </c>
      <c r="C92" s="48">
        <v>45.7</v>
      </c>
      <c r="D92" s="26">
        <v>2.0412447573062719E-2</v>
      </c>
      <c r="E92" s="23">
        <v>2.4500000000000001E-2</v>
      </c>
      <c r="F92" s="18">
        <v>6.9055046987477921E-3</v>
      </c>
      <c r="G92" s="49">
        <v>4.0599999999999997E-2</v>
      </c>
      <c r="H92" s="25">
        <v>3.2421948758495842E-2</v>
      </c>
      <c r="I92" s="50">
        <v>4.8300000000000003E-2</v>
      </c>
      <c r="J92" s="51">
        <v>0.10365105821793222</v>
      </c>
      <c r="K92" s="54">
        <v>5.3305499999999999E-2</v>
      </c>
      <c r="L92" s="57"/>
    </row>
    <row r="93" spans="1:16" ht="15.75">
      <c r="A93" s="22">
        <v>2017</v>
      </c>
      <c r="B93" s="22">
        <v>2673.61</v>
      </c>
      <c r="C93" s="60">
        <v>48.93</v>
      </c>
      <c r="D93" s="26">
        <v>1.830109851474224E-2</v>
      </c>
      <c r="E93" s="23">
        <v>2.41E-2</v>
      </c>
      <c r="F93" s="23">
        <v>2.8017162707789457E-2</v>
      </c>
      <c r="G93" s="49">
        <v>3.5099999999999999E-2</v>
      </c>
      <c r="H93" s="25">
        <v>8.6318282760704329E-2</v>
      </c>
      <c r="I93" s="50">
        <v>4.2199999999999994E-2</v>
      </c>
      <c r="J93" s="51">
        <v>9.7239019462488363E-2</v>
      </c>
      <c r="K93" s="54">
        <v>6.2303199999999996E-2</v>
      </c>
      <c r="L93" s="19"/>
    </row>
    <row r="94" spans="1:16" ht="15.75">
      <c r="A94" s="20">
        <v>2018</v>
      </c>
      <c r="B94" s="20">
        <v>2506.85</v>
      </c>
      <c r="C94" s="61">
        <v>53.75</v>
      </c>
      <c r="D94" s="26">
        <v>2.1441250972335801E-2</v>
      </c>
      <c r="E94" s="19">
        <v>2.69E-2</v>
      </c>
      <c r="F94" s="23">
        <v>-1.6692385713402633E-4</v>
      </c>
      <c r="G94" s="49">
        <v>4.0199999999999993E-2</v>
      </c>
      <c r="H94" s="25">
        <v>-6.2244144750959393E-3</v>
      </c>
      <c r="I94" s="50">
        <v>5.1299999999999998E-2</v>
      </c>
      <c r="J94" s="51">
        <v>-2.7626282217172247E-2</v>
      </c>
      <c r="K94" s="54">
        <v>4.5461299999999996E-2</v>
      </c>
      <c r="L94" s="19"/>
    </row>
    <row r="95" spans="1:16" ht="15.75">
      <c r="A95" s="20">
        <v>2019</v>
      </c>
      <c r="B95" s="20">
        <v>3230.78</v>
      </c>
      <c r="C95" s="17">
        <v>58.5</v>
      </c>
      <c r="D95" s="26">
        <v>1.810708250020119E-2</v>
      </c>
      <c r="E95" s="19">
        <v>1.9199999999999998E-2</v>
      </c>
      <c r="F95" s="23">
        <v>9.6356307415483927E-2</v>
      </c>
      <c r="G95" s="49">
        <v>3.0099999999999998E-2</v>
      </c>
      <c r="H95" s="25">
        <v>0.12631109700279361</v>
      </c>
      <c r="I95" s="50">
        <v>3.8800000000000001E-2</v>
      </c>
      <c r="J95" s="51">
        <v>0.15329457562368487</v>
      </c>
      <c r="K95" s="54">
        <v>4.5461299999999996E-2</v>
      </c>
    </row>
    <row r="96" spans="1:16" ht="15.75">
      <c r="A96" s="20">
        <v>2020</v>
      </c>
      <c r="B96" s="20">
        <v>3756.07</v>
      </c>
      <c r="C96" s="17">
        <v>56.7</v>
      </c>
      <c r="D96" s="26">
        <v>1.5095565311615598E-2</v>
      </c>
      <c r="E96" s="19">
        <v>9.2999999999999992E-3</v>
      </c>
      <c r="F96" s="23">
        <v>0.1133189764661412</v>
      </c>
      <c r="G96" s="19">
        <v>2.23E-2</v>
      </c>
      <c r="H96" s="25">
        <v>9.9328460007525918E-2</v>
      </c>
      <c r="I96" s="62">
        <v>3.1099999999999999E-2</v>
      </c>
      <c r="J96" s="51">
        <v>0.10411537157111345</v>
      </c>
      <c r="M96" s="16" t="s">
        <v>26</v>
      </c>
    </row>
  </sheetData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287E1-32EC-44B8-9669-4730F1DC09D6}">
  <dimension ref="A1:V100"/>
  <sheetViews>
    <sheetView tabSelected="1" zoomScaleNormal="100" workbookViewId="0">
      <pane ySplit="9" topLeftCell="A64" activePane="bottomLeft" state="frozenSplit"/>
      <selection pane="bottomLeft" activeCell="C8" sqref="C8"/>
    </sheetView>
  </sheetViews>
  <sheetFormatPr baseColWidth="10" defaultRowHeight="15"/>
  <cols>
    <col min="1" max="1" width="11.42578125" style="9"/>
    <col min="2" max="2" width="2" style="1" customWidth="1"/>
    <col min="3" max="3" width="39.5703125" style="1" bestFit="1" customWidth="1"/>
    <col min="4" max="4" width="7.140625" style="1" customWidth="1"/>
    <col min="5" max="5" width="5" style="39" bestFit="1" customWidth="1"/>
    <col min="6" max="6" width="13.42578125" style="40" bestFit="1" customWidth="1"/>
    <col min="7" max="7" width="22.7109375" style="40" bestFit="1" customWidth="1"/>
    <col min="8" max="8" width="18.7109375" style="40" bestFit="1" customWidth="1"/>
    <col min="9" max="9" width="5.5703125" style="40" customWidth="1"/>
    <col min="10" max="10" width="9.85546875" style="111" customWidth="1"/>
    <col min="11" max="16384" width="11.42578125" style="1"/>
  </cols>
  <sheetData>
    <row r="1" spans="1:22">
      <c r="A1" s="35" t="s">
        <v>15</v>
      </c>
      <c r="F1" s="39"/>
      <c r="G1" s="39"/>
      <c r="H1" s="39"/>
      <c r="I1" s="39"/>
    </row>
    <row r="2" spans="1:22" s="34" customFormat="1">
      <c r="B2" s="1"/>
      <c r="C2" s="1"/>
      <c r="D2" s="1"/>
      <c r="E2" s="39"/>
      <c r="F2" s="39"/>
      <c r="G2" s="39"/>
      <c r="H2" s="39"/>
      <c r="I2" s="39"/>
      <c r="J2" s="11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34" customFormat="1">
      <c r="A3" s="9"/>
      <c r="B3" s="1"/>
      <c r="C3" s="113" t="s">
        <v>88</v>
      </c>
      <c r="D3" s="2"/>
      <c r="E3" s="37" t="s">
        <v>11</v>
      </c>
      <c r="F3" s="37" t="s">
        <v>27</v>
      </c>
      <c r="G3" s="37" t="s">
        <v>28</v>
      </c>
      <c r="H3" s="37" t="s">
        <v>29</v>
      </c>
      <c r="I3" s="39"/>
      <c r="J3" s="11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s="34" customFormat="1">
      <c r="A4" s="9"/>
      <c r="B4" s="1"/>
      <c r="C4" s="38">
        <f>AVERAGE($H$5:$H$97)</f>
        <v>0.11641421697528424</v>
      </c>
      <c r="D4" s="2"/>
      <c r="E4" s="41">
        <f>FuenteTasaLibreDeRiesgo!A8</f>
        <v>1927</v>
      </c>
      <c r="F4" s="63">
        <f>FuenteRendimientoMercado!B3</f>
        <v>17.66</v>
      </c>
      <c r="G4" s="63">
        <f>FuenteRendimientoMercado!C3</f>
        <v>0.61810000000000009</v>
      </c>
      <c r="H4" s="107"/>
      <c r="I4" s="39"/>
      <c r="J4" s="11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34" customFormat="1">
      <c r="A5" s="9"/>
      <c r="B5" s="1"/>
      <c r="C5" s="113" t="str">
        <f>TasaLibreDeRiesgo!$C3</f>
        <v>Tasa libre de riesgo (T-Bond; 1928-2020)</v>
      </c>
      <c r="D5" s="1"/>
      <c r="E5" s="41">
        <f>FuenteTasaLibreDeRiesgo!A9</f>
        <v>1928</v>
      </c>
      <c r="F5" s="63">
        <f>FuenteRendimientoMercado!B4</f>
        <v>24.35</v>
      </c>
      <c r="G5" s="63">
        <f>FuenteRendimientoMercado!C4</f>
        <v>1.04705</v>
      </c>
      <c r="H5" s="44">
        <f>(F5-F4+G5)/F4</f>
        <v>0.43811155152887893</v>
      </c>
      <c r="I5" s="39"/>
      <c r="J5" s="143">
        <f>Tabla22[[#This Row],[Rentabilidad S&amp;P 500]]-'Returns by year'!B19</f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s="34" customFormat="1">
      <c r="A6" s="9"/>
      <c r="B6" s="1"/>
      <c r="C6" s="38">
        <f>TasaLibreDeRiesgo!$C4</f>
        <v>5.2128747076616674E-2</v>
      </c>
      <c r="D6" s="1"/>
      <c r="E6" s="41">
        <f>FuenteTasaLibreDeRiesgo!A10</f>
        <v>1929</v>
      </c>
      <c r="F6" s="63">
        <f>FuenteRendimientoMercado!B5</f>
        <v>21.45</v>
      </c>
      <c r="G6" s="63">
        <f>FuenteRendimientoMercado!C5</f>
        <v>0.87944999999999995</v>
      </c>
      <c r="H6" s="44">
        <f t="shared" ref="H6:H69" si="0">(F6-F5+G6)/F5</f>
        <v>-8.2979466119096595E-2</v>
      </c>
      <c r="I6" s="39"/>
      <c r="J6" s="143">
        <f>Tabla22[[#This Row],[Rentabilidad S&amp;P 500]]-'Returns by year'!B20</f>
        <v>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34" customFormat="1">
      <c r="A7" s="9"/>
      <c r="B7" s="1"/>
      <c r="C7" s="113" t="s">
        <v>89</v>
      </c>
      <c r="D7" s="3"/>
      <c r="E7" s="41">
        <f>FuenteTasaLibreDeRiesgo!A11</f>
        <v>1930</v>
      </c>
      <c r="F7" s="63">
        <f>FuenteRendimientoMercado!B6</f>
        <v>15.34</v>
      </c>
      <c r="G7" s="63">
        <f>FuenteRendimientoMercado!C6</f>
        <v>0.72097999999999995</v>
      </c>
      <c r="H7" s="44">
        <f t="shared" si="0"/>
        <v>-0.25123636363636365</v>
      </c>
      <c r="I7" s="39"/>
      <c r="J7" s="143">
        <f>Tabla22[[#This Row],[Rentabilidad S&amp;P 500]]-'Returns by year'!B21</f>
        <v>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s="34" customFormat="1">
      <c r="A8" s="9"/>
      <c r="B8" s="1"/>
      <c r="C8" s="38">
        <f>C4-C6</f>
        <v>6.4285469898667569E-2</v>
      </c>
      <c r="D8" s="3"/>
      <c r="E8" s="41">
        <f>FuenteTasaLibreDeRiesgo!A12</f>
        <v>1931</v>
      </c>
      <c r="F8" s="63">
        <f>FuenteRendimientoMercado!B7</f>
        <v>8.1199999999999992</v>
      </c>
      <c r="G8" s="63">
        <f>FuenteRendimientoMercado!C7</f>
        <v>0.49531999999999993</v>
      </c>
      <c r="H8" s="44">
        <f t="shared" si="0"/>
        <v>-0.43837548891786188</v>
      </c>
      <c r="I8" s="39"/>
      <c r="J8" s="143">
        <f>Tabla22[[#This Row],[Rentabilidad S&amp;P 500]]-'Returns by year'!B22</f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s="34" customFormat="1">
      <c r="A9" s="9"/>
      <c r="B9" s="1"/>
      <c r="C9" s="1"/>
      <c r="D9" s="1"/>
      <c r="E9" s="41">
        <f>FuenteTasaLibreDeRiesgo!A13</f>
        <v>1932</v>
      </c>
      <c r="F9" s="63">
        <f>FuenteRendimientoMercado!B8</f>
        <v>6.92</v>
      </c>
      <c r="G9" s="63">
        <f>FuenteRendimientoMercado!C8</f>
        <v>0.49823999999999996</v>
      </c>
      <c r="H9" s="44">
        <f t="shared" si="0"/>
        <v>-8.642364532019696E-2</v>
      </c>
      <c r="I9" s="39"/>
      <c r="J9" s="143">
        <f>Tabla22[[#This Row],[Rentabilidad S&amp;P 500]]-'Returns by year'!B23</f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s="34" customFormat="1">
      <c r="A10" s="9"/>
      <c r="B10" s="1"/>
      <c r="C10" s="1"/>
      <c r="D10" s="1"/>
      <c r="E10" s="41">
        <f>FuenteTasaLibreDeRiesgo!A14</f>
        <v>1933</v>
      </c>
      <c r="F10" s="63">
        <f>FuenteRendimientoMercado!B9</f>
        <v>9.9700000000000006</v>
      </c>
      <c r="G10" s="63">
        <f>FuenteRendimientoMercado!C9</f>
        <v>0.40877000000000002</v>
      </c>
      <c r="H10" s="44">
        <f t="shared" si="0"/>
        <v>0.49982225433526023</v>
      </c>
      <c r="I10" s="39"/>
      <c r="J10" s="143">
        <f>Tabla22[[#This Row],[Rentabilidad S&amp;P 500]]-'Returns by year'!B24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s="34" customFormat="1">
      <c r="A11" s="9"/>
      <c r="B11" s="1"/>
      <c r="C11" s="38"/>
      <c r="D11" s="4"/>
      <c r="E11" s="41">
        <f>FuenteTasaLibreDeRiesgo!A15</f>
        <v>1934</v>
      </c>
      <c r="F11" s="63">
        <f>FuenteRendimientoMercado!B10</f>
        <v>9.5</v>
      </c>
      <c r="G11" s="63">
        <f>FuenteRendimientoMercado!C10</f>
        <v>0.35149999999999998</v>
      </c>
      <c r="H11" s="44">
        <f t="shared" si="0"/>
        <v>-1.1885656970912803E-2</v>
      </c>
      <c r="I11" s="39"/>
      <c r="J11" s="143">
        <f>Tabla22[[#This Row],[Rentabilidad S&amp;P 500]]-'Returns by year'!B25</f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34" customFormat="1">
      <c r="A12" s="9"/>
      <c r="B12" s="1"/>
      <c r="C12" s="1"/>
      <c r="D12" s="1"/>
      <c r="E12" s="41">
        <f>FuenteTasaLibreDeRiesgo!A16</f>
        <v>1935</v>
      </c>
      <c r="F12" s="63">
        <f>FuenteRendimientoMercado!B11</f>
        <v>13.43</v>
      </c>
      <c r="G12" s="63">
        <f>FuenteRendimientoMercado!C11</f>
        <v>0.51034000000000002</v>
      </c>
      <c r="H12" s="44">
        <f t="shared" si="0"/>
        <v>0.46740421052631581</v>
      </c>
      <c r="I12" s="39"/>
      <c r="J12" s="143">
        <f>Tabla22[[#This Row],[Rentabilidad S&amp;P 500]]-'Returns by year'!B26</f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34" customFormat="1">
      <c r="A13" s="9"/>
      <c r="B13" s="9"/>
      <c r="C13" s="9"/>
      <c r="D13" s="1"/>
      <c r="E13" s="46">
        <f>FuenteTasaLibreDeRiesgo!A17</f>
        <v>1936</v>
      </c>
      <c r="F13" s="63">
        <f>FuenteRendimientoMercado!B12</f>
        <v>17.18</v>
      </c>
      <c r="G13" s="63">
        <f>FuenteRendimientoMercado!C12</f>
        <v>0.54</v>
      </c>
      <c r="H13" s="44">
        <f t="shared" si="0"/>
        <v>0.31943410275502609</v>
      </c>
      <c r="I13" s="39"/>
      <c r="J13" s="143">
        <f>Tabla22[[#This Row],[Rentabilidad S&amp;P 500]]-'Returns by year'!B27</f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34" customFormat="1">
      <c r="A14" s="9"/>
      <c r="B14" s="9"/>
      <c r="C14" s="8"/>
      <c r="D14" s="1"/>
      <c r="E14" s="41">
        <f>FuenteTasaLibreDeRiesgo!A18</f>
        <v>1937</v>
      </c>
      <c r="F14" s="63">
        <f>FuenteRendimientoMercado!B13</f>
        <v>10.55</v>
      </c>
      <c r="G14" s="63">
        <f>FuenteRendimientoMercado!C13</f>
        <v>0.55915000000000004</v>
      </c>
      <c r="H14" s="44">
        <f t="shared" si="0"/>
        <v>-0.35336728754365537</v>
      </c>
      <c r="I14" s="39"/>
      <c r="J14" s="143">
        <f>Tabla22[[#This Row],[Rentabilidad S&amp;P 500]]-'Returns by year'!B28</f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34" customFormat="1">
      <c r="A15" s="9"/>
      <c r="B15" s="9"/>
      <c r="C15" s="8"/>
      <c r="D15" s="1"/>
      <c r="E15" s="41">
        <f>FuenteTasaLibreDeRiesgo!A19</f>
        <v>1938</v>
      </c>
      <c r="F15" s="63">
        <f>FuenteRendimientoMercado!B14</f>
        <v>13.14</v>
      </c>
      <c r="G15" s="63">
        <f>FuenteRendimientoMercado!C14</f>
        <v>0.49931999999999999</v>
      </c>
      <c r="H15" s="44">
        <f t="shared" si="0"/>
        <v>0.29282654028436017</v>
      </c>
      <c r="I15" s="39"/>
      <c r="J15" s="143">
        <f>Tabla22[[#This Row],[Rentabilidad S&amp;P 500]]-'Returns by year'!B29</f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34" customFormat="1">
      <c r="A16" s="9"/>
      <c r="B16" s="1"/>
      <c r="C16" s="8"/>
      <c r="D16" s="1"/>
      <c r="E16" s="41">
        <f>FuenteTasaLibreDeRiesgo!A20</f>
        <v>1939</v>
      </c>
      <c r="F16" s="63">
        <f>FuenteRendimientoMercado!B15</f>
        <v>12.46</v>
      </c>
      <c r="G16" s="63">
        <f>FuenteRendimientoMercado!C15</f>
        <v>0.53578000000000003</v>
      </c>
      <c r="H16" s="44">
        <f t="shared" si="0"/>
        <v>-1.0975646879756443E-2</v>
      </c>
      <c r="I16" s="39"/>
      <c r="J16" s="143">
        <f>Tabla22[[#This Row],[Rentabilidad S&amp;P 500]]-'Returns by year'!B30</f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s="34" customFormat="1">
      <c r="A17" s="9"/>
      <c r="B17" s="1"/>
      <c r="C17" s="8"/>
      <c r="D17" s="1"/>
      <c r="E17" s="41">
        <f>FuenteTasaLibreDeRiesgo!A21</f>
        <v>1940</v>
      </c>
      <c r="F17" s="63">
        <f>FuenteRendimientoMercado!B16</f>
        <v>10.58</v>
      </c>
      <c r="G17" s="63">
        <f>FuenteRendimientoMercado!C16</f>
        <v>0.55015999999999998</v>
      </c>
      <c r="H17" s="44">
        <f t="shared" si="0"/>
        <v>-0.10672873194221515</v>
      </c>
      <c r="I17" s="39"/>
      <c r="J17" s="143">
        <f>Tabla22[[#This Row],[Rentabilidad S&amp;P 500]]-'Returns by year'!B31</f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34" customFormat="1">
      <c r="A18" s="9"/>
      <c r="B18" s="1"/>
      <c r="C18" s="8"/>
      <c r="D18" s="1"/>
      <c r="E18" s="41">
        <f>FuenteTasaLibreDeRiesgo!A22</f>
        <v>1941</v>
      </c>
      <c r="F18" s="63">
        <f>FuenteRendimientoMercado!B17</f>
        <v>8.69</v>
      </c>
      <c r="G18" s="63">
        <f>FuenteRendimientoMercado!C17</f>
        <v>0.53877999999999993</v>
      </c>
      <c r="H18" s="44">
        <f t="shared" si="0"/>
        <v>-0.12771455576559551</v>
      </c>
      <c r="I18" s="39"/>
      <c r="J18" s="143">
        <f>Tabla22[[#This Row],[Rentabilidad S&amp;P 500]]-'Returns by year'!B32</f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34" customFormat="1">
      <c r="A19" s="9"/>
      <c r="B19" s="1"/>
      <c r="C19" s="8"/>
      <c r="D19" s="1"/>
      <c r="E19" s="41">
        <f>FuenteTasaLibreDeRiesgo!A23</f>
        <v>1942</v>
      </c>
      <c r="F19" s="63">
        <f>FuenteRendimientoMercado!B18</f>
        <v>9.77</v>
      </c>
      <c r="G19" s="63">
        <f>FuenteRendimientoMercado!C18</f>
        <v>0.58619999999999994</v>
      </c>
      <c r="H19" s="44">
        <f t="shared" si="0"/>
        <v>0.19173762945914843</v>
      </c>
      <c r="I19" s="39"/>
      <c r="J19" s="143">
        <f>Tabla22[[#This Row],[Rentabilidad S&amp;P 500]]-'Returns by year'!B33</f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34" customFormat="1">
      <c r="A20" s="9"/>
      <c r="B20" s="1"/>
      <c r="C20" s="8"/>
      <c r="D20" s="1"/>
      <c r="E20" s="41">
        <f>FuenteTasaLibreDeRiesgo!A24</f>
        <v>1943</v>
      </c>
      <c r="F20" s="63">
        <f>FuenteRendimientoMercado!B19</f>
        <v>11.67</v>
      </c>
      <c r="G20" s="63">
        <f>FuenteRendimientoMercado!C19</f>
        <v>0.54849000000000003</v>
      </c>
      <c r="H20" s="44">
        <f t="shared" si="0"/>
        <v>0.25061310133060394</v>
      </c>
      <c r="I20" s="39"/>
      <c r="J20" s="143">
        <f>Tabla22[[#This Row],[Rentabilidad S&amp;P 500]]-'Returns by year'!B34</f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34" customFormat="1">
      <c r="A21" s="9"/>
      <c r="B21" s="1"/>
      <c r="C21" s="8"/>
      <c r="D21" s="1"/>
      <c r="E21" s="41">
        <f>FuenteTasaLibreDeRiesgo!A25</f>
        <v>1944</v>
      </c>
      <c r="F21" s="63">
        <f>FuenteRendimientoMercado!B20</f>
        <v>13.28</v>
      </c>
      <c r="G21" s="63">
        <f>FuenteRendimientoMercado!C20</f>
        <v>0.61087999999999998</v>
      </c>
      <c r="H21" s="44">
        <f t="shared" si="0"/>
        <v>0.19030676949443009</v>
      </c>
      <c r="I21" s="39"/>
      <c r="J21" s="143">
        <f>Tabla22[[#This Row],[Rentabilidad S&amp;P 500]]-'Returns by year'!B35</f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s="34" customFormat="1">
      <c r="A22" s="9"/>
      <c r="B22" s="1"/>
      <c r="C22" s="1"/>
      <c r="D22" s="1"/>
      <c r="E22" s="41">
        <f>FuenteTasaLibreDeRiesgo!A26</f>
        <v>1945</v>
      </c>
      <c r="F22" s="63">
        <f>FuenteRendimientoMercado!B21</f>
        <v>17.36</v>
      </c>
      <c r="G22" s="63">
        <f>FuenteRendimientoMercado!C21</f>
        <v>0.67703999999999998</v>
      </c>
      <c r="H22" s="44">
        <f t="shared" si="0"/>
        <v>0.35821084337349401</v>
      </c>
      <c r="I22" s="39"/>
      <c r="J22" s="143">
        <f>Tabla22[[#This Row],[Rentabilidad S&amp;P 500]]-'Returns by year'!B36</f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34" customFormat="1">
      <c r="A23" s="9"/>
      <c r="B23" s="1"/>
      <c r="C23" s="1"/>
      <c r="D23" s="1"/>
      <c r="E23" s="46">
        <f>FuenteTasaLibreDeRiesgo!A27</f>
        <v>1946</v>
      </c>
      <c r="F23" s="63">
        <f>FuenteRendimientoMercado!B22</f>
        <v>15.3</v>
      </c>
      <c r="G23" s="63">
        <f>FuenteRendimientoMercado!C22</f>
        <v>0.59670000000000001</v>
      </c>
      <c r="H23" s="44">
        <f t="shared" si="0"/>
        <v>-8.4291474654377807E-2</v>
      </c>
      <c r="I23" s="39"/>
      <c r="J23" s="143">
        <f>Tabla22[[#This Row],[Rentabilidad S&amp;P 500]]-'Returns by year'!B37</f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s="34" customFormat="1">
      <c r="A24" s="9"/>
      <c r="B24" s="1"/>
      <c r="C24" s="1"/>
      <c r="D24" s="1"/>
      <c r="E24" s="41">
        <f>FuenteTasaLibreDeRiesgo!A28</f>
        <v>1947</v>
      </c>
      <c r="F24" s="63">
        <f>FuenteRendimientoMercado!B23</f>
        <v>15.3</v>
      </c>
      <c r="G24" s="63">
        <f>FuenteRendimientoMercado!C23</f>
        <v>0.79559999999999997</v>
      </c>
      <c r="H24" s="44">
        <f t="shared" si="0"/>
        <v>5.1999999999999998E-2</v>
      </c>
      <c r="I24" s="39"/>
      <c r="J24" s="143">
        <f>Tabla22[[#This Row],[Rentabilidad S&amp;P 500]]-'Returns by year'!B38</f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s="34" customFormat="1">
      <c r="A25" s="9"/>
      <c r="B25" s="1"/>
      <c r="C25" s="1"/>
      <c r="D25" s="1"/>
      <c r="E25" s="41">
        <f>FuenteTasaLibreDeRiesgo!A29</f>
        <v>1948</v>
      </c>
      <c r="F25" s="63">
        <f>FuenteRendimientoMercado!B24</f>
        <v>15.2</v>
      </c>
      <c r="G25" s="63">
        <f>FuenteRendimientoMercado!C24</f>
        <v>0.9728</v>
      </c>
      <c r="H25" s="44">
        <f t="shared" si="0"/>
        <v>5.7045751633986834E-2</v>
      </c>
      <c r="I25" s="39"/>
      <c r="J25" s="143">
        <f>Tabla22[[#This Row],[Rentabilidad S&amp;P 500]]-'Returns by year'!B39</f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s="34" customFormat="1">
      <c r="A26" s="9"/>
      <c r="B26" s="1"/>
      <c r="C26" s="1"/>
      <c r="D26" s="1"/>
      <c r="E26" s="41">
        <f>FuenteTasaLibreDeRiesgo!A30</f>
        <v>1949</v>
      </c>
      <c r="F26" s="63">
        <f>FuenteRendimientoMercado!B25</f>
        <v>16.79</v>
      </c>
      <c r="G26" s="63">
        <f>FuenteRendimientoMercado!C25</f>
        <v>1.1920899999999999</v>
      </c>
      <c r="H26" s="44">
        <f t="shared" si="0"/>
        <v>0.18303223684210526</v>
      </c>
      <c r="I26" s="39"/>
      <c r="J26" s="143">
        <f>Tabla22[[#This Row],[Rentabilidad S&amp;P 500]]-'Returns by year'!B40</f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s="34" customFormat="1">
      <c r="A27" s="9"/>
      <c r="B27" s="1"/>
      <c r="C27" s="1"/>
      <c r="D27" s="1"/>
      <c r="E27" s="41">
        <f>FuenteTasaLibreDeRiesgo!A31</f>
        <v>1950</v>
      </c>
      <c r="F27" s="63">
        <f>FuenteRendimientoMercado!B26</f>
        <v>20.43</v>
      </c>
      <c r="G27" s="63">
        <f>FuenteRendimientoMercado!C26</f>
        <v>1.5322499999999999</v>
      </c>
      <c r="H27" s="44">
        <f t="shared" si="0"/>
        <v>0.30805539011316263</v>
      </c>
      <c r="I27" s="39"/>
      <c r="J27" s="143">
        <f>Tabla22[[#This Row],[Rentabilidad S&amp;P 500]]-'Returns by year'!B41</f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s="34" customFormat="1">
      <c r="A28" s="9"/>
      <c r="B28" s="1"/>
      <c r="C28" s="1"/>
      <c r="D28" s="1"/>
      <c r="E28" s="41">
        <f>FuenteTasaLibreDeRiesgo!A32</f>
        <v>1951</v>
      </c>
      <c r="F28" s="63">
        <f>FuenteRendimientoMercado!B27</f>
        <v>23.77</v>
      </c>
      <c r="G28" s="63">
        <f>FuenteRendimientoMercado!C27</f>
        <v>1.4975099999999999</v>
      </c>
      <c r="H28" s="44">
        <f t="shared" si="0"/>
        <v>0.23678463044542339</v>
      </c>
      <c r="I28" s="39"/>
      <c r="J28" s="143">
        <f>Tabla22[[#This Row],[Rentabilidad S&amp;P 500]]-'Returns by year'!B42</f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s="34" customFormat="1">
      <c r="A29" s="9"/>
      <c r="B29" s="1"/>
      <c r="C29" s="1"/>
      <c r="D29" s="1"/>
      <c r="E29" s="41">
        <f>FuenteTasaLibreDeRiesgo!A33</f>
        <v>1952</v>
      </c>
      <c r="F29" s="63">
        <f>FuenteRendimientoMercado!B28</f>
        <v>26.57</v>
      </c>
      <c r="G29" s="63">
        <f>FuenteRendimientoMercado!C28</f>
        <v>1.5144900000000001</v>
      </c>
      <c r="H29" s="44">
        <f t="shared" si="0"/>
        <v>0.18150988641144306</v>
      </c>
      <c r="I29" s="39"/>
      <c r="J29" s="143">
        <f>Tabla22[[#This Row],[Rentabilidad S&amp;P 500]]-'Returns by year'!B43</f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s="34" customFormat="1">
      <c r="A30" s="9"/>
      <c r="B30" s="1"/>
      <c r="C30" s="1"/>
      <c r="D30" s="1"/>
      <c r="E30" s="41">
        <f>FuenteTasaLibreDeRiesgo!A34</f>
        <v>1953</v>
      </c>
      <c r="F30" s="63">
        <f>FuenteRendimientoMercado!B29</f>
        <v>24.81</v>
      </c>
      <c r="G30" s="63">
        <f>FuenteRendimientoMercado!C29</f>
        <v>1.4389799999999999</v>
      </c>
      <c r="H30" s="44">
        <f t="shared" si="0"/>
        <v>-1.2082047421904465E-2</v>
      </c>
      <c r="I30" s="39"/>
      <c r="J30" s="143">
        <f>Tabla22[[#This Row],[Rentabilidad S&amp;P 500]]-'Returns by year'!B44</f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s="34" customFormat="1">
      <c r="A31" s="9"/>
      <c r="B31" s="1"/>
      <c r="C31" s="1"/>
      <c r="D31" s="1"/>
      <c r="E31" s="41">
        <f>FuenteTasaLibreDeRiesgo!A35</f>
        <v>1954</v>
      </c>
      <c r="F31" s="63">
        <f>FuenteRendimientoMercado!B30</f>
        <v>35.979999999999997</v>
      </c>
      <c r="G31" s="63">
        <f>FuenteRendimientoMercado!C30</f>
        <v>1.8709599999999997</v>
      </c>
      <c r="H31" s="44">
        <f t="shared" si="0"/>
        <v>0.52563321241434902</v>
      </c>
      <c r="I31" s="39"/>
      <c r="J31" s="143">
        <f>Tabla22[[#This Row],[Rentabilidad S&amp;P 500]]-'Returns by year'!B45</f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s="34" customFormat="1">
      <c r="A32" s="9"/>
      <c r="B32" s="1"/>
      <c r="C32" s="1"/>
      <c r="D32" s="1"/>
      <c r="E32" s="41">
        <f>FuenteTasaLibreDeRiesgo!A36</f>
        <v>1955</v>
      </c>
      <c r="F32" s="63">
        <f>FuenteRendimientoMercado!B31</f>
        <v>45.48</v>
      </c>
      <c r="G32" s="63">
        <f>FuenteRendimientoMercado!C31</f>
        <v>2.2285200000000001</v>
      </c>
      <c r="H32" s="44">
        <f t="shared" si="0"/>
        <v>0.32597331851028349</v>
      </c>
      <c r="I32" s="39"/>
      <c r="J32" s="143">
        <f>Tabla22[[#This Row],[Rentabilidad S&amp;P 500]]-'Returns by year'!B46</f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s="34" customFormat="1">
      <c r="A33" s="9"/>
      <c r="B33" s="1"/>
      <c r="C33" s="1"/>
      <c r="D33" s="1"/>
      <c r="E33" s="46">
        <f>FuenteTasaLibreDeRiesgo!A37</f>
        <v>1956</v>
      </c>
      <c r="F33" s="63">
        <f>FuenteRendimientoMercado!B32</f>
        <v>46.67</v>
      </c>
      <c r="G33" s="63">
        <f>FuenteRendimientoMercado!C32</f>
        <v>2.1934900000000002</v>
      </c>
      <c r="H33" s="44">
        <f t="shared" si="0"/>
        <v>7.4395118733509347E-2</v>
      </c>
      <c r="I33" s="39"/>
      <c r="J33" s="143">
        <f>Tabla22[[#This Row],[Rentabilidad S&amp;P 500]]-'Returns by year'!B47</f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s="34" customFormat="1">
      <c r="A34" s="9"/>
      <c r="B34" s="1"/>
      <c r="C34" s="1"/>
      <c r="D34" s="1"/>
      <c r="E34" s="41">
        <f>FuenteTasaLibreDeRiesgo!A38</f>
        <v>1957</v>
      </c>
      <c r="F34" s="63">
        <f>FuenteRendimientoMercado!B33</f>
        <v>39.99</v>
      </c>
      <c r="G34" s="63">
        <f>FuenteRendimientoMercado!C33</f>
        <v>1.79955</v>
      </c>
      <c r="H34" s="44">
        <f t="shared" si="0"/>
        <v>-0.1045736018855796</v>
      </c>
      <c r="I34" s="39"/>
      <c r="J34" s="143">
        <f>Tabla22[[#This Row],[Rentabilidad S&amp;P 500]]-'Returns by year'!B48</f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s="34" customFormat="1">
      <c r="A35" s="9"/>
      <c r="B35" s="1"/>
      <c r="C35" s="1"/>
      <c r="D35" s="1"/>
      <c r="E35" s="41">
        <f>FuenteTasaLibreDeRiesgo!A39</f>
        <v>1958</v>
      </c>
      <c r="F35" s="63">
        <f>FuenteRendimientoMercado!B34</f>
        <v>55.21</v>
      </c>
      <c r="G35" s="63">
        <f>FuenteRendimientoMercado!C34</f>
        <v>2.2636100000000003</v>
      </c>
      <c r="H35" s="44">
        <f t="shared" si="0"/>
        <v>0.43719954988747184</v>
      </c>
      <c r="I35" s="39"/>
      <c r="J35" s="143">
        <f>Tabla22[[#This Row],[Rentabilidad S&amp;P 500]]-'Returns by year'!B49</f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s="34" customFormat="1">
      <c r="A36" s="9"/>
      <c r="B36" s="1"/>
      <c r="C36" s="1"/>
      <c r="D36" s="1"/>
      <c r="E36" s="41">
        <f>FuenteTasaLibreDeRiesgo!A40</f>
        <v>1959</v>
      </c>
      <c r="F36" s="63">
        <f>FuenteRendimientoMercado!B35</f>
        <v>59.89</v>
      </c>
      <c r="G36" s="63">
        <f>FuenteRendimientoMercado!C35</f>
        <v>1.9763700000000002</v>
      </c>
      <c r="H36" s="44">
        <f t="shared" si="0"/>
        <v>0.12056457163557326</v>
      </c>
      <c r="I36" s="39"/>
      <c r="J36" s="143">
        <f>Tabla22[[#This Row],[Rentabilidad S&amp;P 500]]-'Returns by year'!B50</f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s="34" customFormat="1">
      <c r="A37" s="9"/>
      <c r="B37" s="1"/>
      <c r="C37" s="1"/>
      <c r="D37" s="1"/>
      <c r="E37" s="41">
        <f>FuenteTasaLibreDeRiesgo!A41</f>
        <v>1960</v>
      </c>
      <c r="F37" s="63">
        <f>FuenteRendimientoMercado!B36</f>
        <v>58.11</v>
      </c>
      <c r="G37" s="63">
        <f>FuenteRendimientoMercado!C36</f>
        <v>1.9815510000000001</v>
      </c>
      <c r="H37" s="44">
        <f t="shared" si="0"/>
        <v>3.36535314743695E-3</v>
      </c>
      <c r="I37" s="39"/>
      <c r="J37" s="143">
        <f>Tabla22[[#This Row],[Rentabilidad S&amp;P 500]]-'Returns by year'!B51</f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s="34" customFormat="1">
      <c r="A38" s="9"/>
      <c r="B38" s="1"/>
      <c r="C38" s="1"/>
      <c r="D38" s="1"/>
      <c r="E38" s="41">
        <f>FuenteTasaLibreDeRiesgo!A42</f>
        <v>1961</v>
      </c>
      <c r="F38" s="63">
        <f>FuenteRendimientoMercado!B37</f>
        <v>71.55</v>
      </c>
      <c r="G38" s="63">
        <f>FuenteRendimientoMercado!C37</f>
        <v>2.0391750000000002</v>
      </c>
      <c r="H38" s="44">
        <f t="shared" si="0"/>
        <v>0.26637712958182752</v>
      </c>
      <c r="I38" s="39"/>
      <c r="J38" s="143">
        <f>Tabla22[[#This Row],[Rentabilidad S&amp;P 500]]-'Returns by year'!B52</f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s="34" customFormat="1">
      <c r="A39" s="9"/>
      <c r="B39" s="1"/>
      <c r="C39" s="1"/>
      <c r="D39" s="1"/>
      <c r="E39" s="41">
        <f>FuenteTasaLibreDeRiesgo!A43</f>
        <v>1962</v>
      </c>
      <c r="F39" s="63">
        <f>FuenteRendimientoMercado!B38</f>
        <v>63.1</v>
      </c>
      <c r="G39" s="63">
        <f>FuenteRendimientoMercado!C38</f>
        <v>2.1454</v>
      </c>
      <c r="H39" s="44">
        <f t="shared" si="0"/>
        <v>-8.8114605171208879E-2</v>
      </c>
      <c r="I39" s="39"/>
      <c r="J39" s="143">
        <f>Tabla22[[#This Row],[Rentabilidad S&amp;P 500]]-'Returns by year'!B53</f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s="34" customFormat="1">
      <c r="A40" s="9"/>
      <c r="B40" s="1"/>
      <c r="C40" s="1"/>
      <c r="D40" s="1"/>
      <c r="E40" s="41">
        <f>FuenteTasaLibreDeRiesgo!A44</f>
        <v>1963</v>
      </c>
      <c r="F40" s="63">
        <f>FuenteRendimientoMercado!B39</f>
        <v>75.02</v>
      </c>
      <c r="G40" s="63">
        <f>FuenteRendimientoMercado!C39</f>
        <v>2.3481260000000002</v>
      </c>
      <c r="H40" s="44">
        <f t="shared" si="0"/>
        <v>0.22611927099841514</v>
      </c>
      <c r="I40" s="39"/>
      <c r="J40" s="143">
        <f>Tabla22[[#This Row],[Rentabilidad S&amp;P 500]]-'Returns by year'!B54</f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s="34" customFormat="1">
      <c r="A41" s="9"/>
      <c r="B41" s="1"/>
      <c r="C41" s="1"/>
      <c r="D41" s="1"/>
      <c r="E41" s="41">
        <f>FuenteTasaLibreDeRiesgo!A45</f>
        <v>1964</v>
      </c>
      <c r="F41" s="63">
        <f>FuenteRendimientoMercado!B40</f>
        <v>84.75</v>
      </c>
      <c r="G41" s="63">
        <f>FuenteRendimientoMercado!C40</f>
        <v>2.5848749999999998</v>
      </c>
      <c r="H41" s="44">
        <f t="shared" si="0"/>
        <v>0.16415455878432425</v>
      </c>
      <c r="I41" s="39"/>
      <c r="J41" s="143">
        <f>Tabla22[[#This Row],[Rentabilidad S&amp;P 500]]-'Returns by year'!B55</f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s="34" customFormat="1">
      <c r="A42" s="9"/>
      <c r="B42" s="1"/>
      <c r="C42" s="1"/>
      <c r="D42" s="1"/>
      <c r="E42" s="41">
        <f>FuenteTasaLibreDeRiesgo!A46</f>
        <v>1965</v>
      </c>
      <c r="F42" s="63">
        <f>FuenteRendimientoMercado!B41</f>
        <v>92.43</v>
      </c>
      <c r="G42" s="63">
        <f>FuenteRendimientoMercado!C41</f>
        <v>2.8283580000000001</v>
      </c>
      <c r="H42" s="44">
        <f t="shared" si="0"/>
        <v>0.12399242477876114</v>
      </c>
      <c r="I42" s="39"/>
      <c r="J42" s="143">
        <f>Tabla22[[#This Row],[Rentabilidad S&amp;P 500]]-'Returns by year'!B56</f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s="34" customFormat="1">
      <c r="A43" s="9"/>
      <c r="B43" s="1"/>
      <c r="C43" s="1"/>
      <c r="D43" s="1"/>
      <c r="E43" s="46">
        <f>FuenteTasaLibreDeRiesgo!A47</f>
        <v>1966</v>
      </c>
      <c r="F43" s="63">
        <f>FuenteRendimientoMercado!B42</f>
        <v>80.33</v>
      </c>
      <c r="G43" s="63">
        <f>FuenteRendimientoMercado!C42</f>
        <v>2.8838469999999998</v>
      </c>
      <c r="H43" s="44">
        <f t="shared" si="0"/>
        <v>-9.9709542356377898E-2</v>
      </c>
      <c r="I43" s="39"/>
      <c r="J43" s="143">
        <f>Tabla22[[#This Row],[Rentabilidad S&amp;P 500]]-'Returns by year'!B57</f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s="34" customFormat="1">
      <c r="A44" s="9"/>
      <c r="B44" s="1"/>
      <c r="C44" s="1"/>
      <c r="D44" s="1"/>
      <c r="E44" s="41">
        <f>FuenteTasaLibreDeRiesgo!A48</f>
        <v>1967</v>
      </c>
      <c r="F44" s="63">
        <f>FuenteRendimientoMercado!B43</f>
        <v>96.47</v>
      </c>
      <c r="G44" s="63">
        <f>FuenteRendimientoMercado!C43</f>
        <v>2.9809230000000002</v>
      </c>
      <c r="H44" s="44">
        <f t="shared" si="0"/>
        <v>0.23802966513133328</v>
      </c>
      <c r="I44" s="39"/>
      <c r="J44" s="143">
        <f>Tabla22[[#This Row],[Rentabilidad S&amp;P 500]]-'Returns by year'!B58</f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s="34" customFormat="1">
      <c r="A45" s="9"/>
      <c r="B45" s="1"/>
      <c r="C45" s="1"/>
      <c r="D45" s="1"/>
      <c r="E45" s="41">
        <f>FuenteTasaLibreDeRiesgo!A49</f>
        <v>1968</v>
      </c>
      <c r="F45" s="63">
        <f>FuenteRendimientoMercado!B44</f>
        <v>103.86</v>
      </c>
      <c r="G45" s="63">
        <f>FuenteRendimientoMercado!C44</f>
        <v>3.0430980000000001</v>
      </c>
      <c r="H45" s="44">
        <f t="shared" si="0"/>
        <v>0.10814862651601535</v>
      </c>
      <c r="I45" s="39"/>
      <c r="J45" s="143">
        <f>Tabla22[[#This Row],[Rentabilidad S&amp;P 500]]-'Returns by year'!B59</f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s="34" customFormat="1">
      <c r="A46" s="9"/>
      <c r="B46" s="1"/>
      <c r="C46" s="1"/>
      <c r="D46" s="1"/>
      <c r="E46" s="41">
        <f>FuenteTasaLibreDeRiesgo!A50</f>
        <v>1969</v>
      </c>
      <c r="F46" s="63">
        <f>FuenteRendimientoMercado!B45</f>
        <v>92.06</v>
      </c>
      <c r="G46" s="63">
        <f>FuenteRendimientoMercado!C45</f>
        <v>3.2405119999999998</v>
      </c>
      <c r="H46" s="44">
        <f t="shared" si="0"/>
        <v>-8.2413710764490639E-2</v>
      </c>
      <c r="I46" s="39"/>
      <c r="J46" s="143">
        <f>Tabla22[[#This Row],[Rentabilidad S&amp;P 500]]-'Returns by year'!B60</f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s="34" customFormat="1">
      <c r="A47" s="9"/>
      <c r="B47" s="1"/>
      <c r="C47" s="1"/>
      <c r="D47" s="1"/>
      <c r="E47" s="41">
        <f>FuenteTasaLibreDeRiesgo!A51</f>
        <v>1970</v>
      </c>
      <c r="F47" s="63">
        <f>FuenteRendimientoMercado!B46</f>
        <v>92.15</v>
      </c>
      <c r="G47" s="63">
        <f>FuenteRendimientoMercado!C46</f>
        <v>3.1883900000000001</v>
      </c>
      <c r="H47" s="44">
        <f t="shared" si="0"/>
        <v>3.5611449054964189E-2</v>
      </c>
      <c r="I47" s="39"/>
      <c r="J47" s="143">
        <f>Tabla22[[#This Row],[Rentabilidad S&amp;P 500]]-'Returns by year'!B61</f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s="34" customFormat="1">
      <c r="A48" s="9"/>
      <c r="B48" s="1"/>
      <c r="C48" s="1"/>
      <c r="D48" s="1"/>
      <c r="E48" s="41">
        <f>FuenteTasaLibreDeRiesgo!A52</f>
        <v>1971</v>
      </c>
      <c r="F48" s="63">
        <f>FuenteRendimientoMercado!B47</f>
        <v>102.09</v>
      </c>
      <c r="G48" s="63">
        <f>FuenteRendimientoMercado!C47</f>
        <v>3.16479</v>
      </c>
      <c r="H48" s="44">
        <f t="shared" si="0"/>
        <v>0.14221150298426474</v>
      </c>
      <c r="I48" s="39"/>
      <c r="J48" s="143">
        <f>Tabla22[[#This Row],[Rentabilidad S&amp;P 500]]-'Returns by year'!B62</f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s="34" customFormat="1">
      <c r="A49" s="9"/>
      <c r="B49" s="1"/>
      <c r="C49" s="1"/>
      <c r="D49" s="1"/>
      <c r="E49" s="41">
        <f>FuenteTasaLibreDeRiesgo!A53</f>
        <v>1972</v>
      </c>
      <c r="F49" s="63">
        <f>FuenteRendimientoMercado!B48</f>
        <v>118.05</v>
      </c>
      <c r="G49" s="63">
        <f>FuenteRendimientoMercado!C48</f>
        <v>3.1873499999999999</v>
      </c>
      <c r="H49" s="44">
        <f t="shared" si="0"/>
        <v>0.18755362915074925</v>
      </c>
      <c r="I49" s="39"/>
      <c r="J49" s="143">
        <f>Tabla22[[#This Row],[Rentabilidad S&amp;P 500]]-'Returns by year'!B63</f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s="34" customFormat="1">
      <c r="A50" s="9"/>
      <c r="B50" s="1"/>
      <c r="C50" s="1"/>
      <c r="D50" s="1"/>
      <c r="E50" s="41">
        <f>FuenteTasaLibreDeRiesgo!A54</f>
        <v>1973</v>
      </c>
      <c r="F50" s="63">
        <f>FuenteRendimientoMercado!B49</f>
        <v>97.55</v>
      </c>
      <c r="G50" s="63">
        <f>FuenteRendimientoMercado!C49</f>
        <v>3.6093500000000001</v>
      </c>
      <c r="H50" s="44">
        <f t="shared" si="0"/>
        <v>-0.14308047437526472</v>
      </c>
      <c r="I50" s="39"/>
      <c r="J50" s="143">
        <f>Tabla22[[#This Row],[Rentabilidad S&amp;P 500]]-'Returns by year'!B64</f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s="34" customFormat="1">
      <c r="A51" s="9"/>
      <c r="B51" s="1"/>
      <c r="C51" s="1"/>
      <c r="D51" s="1"/>
      <c r="E51" s="41">
        <f>FuenteTasaLibreDeRiesgo!A55</f>
        <v>1974</v>
      </c>
      <c r="F51" s="63">
        <f>FuenteRendimientoMercado!B50</f>
        <v>68.56</v>
      </c>
      <c r="G51" s="63">
        <f>FuenteRendimientoMercado!C50</f>
        <v>3.7228080000000001</v>
      </c>
      <c r="H51" s="44">
        <f t="shared" si="0"/>
        <v>-0.25901785750896972</v>
      </c>
      <c r="I51" s="39"/>
      <c r="J51" s="143">
        <f>Tabla22[[#This Row],[Rentabilidad S&amp;P 500]]-'Returns by year'!B65</f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s="34" customFormat="1">
      <c r="A52" s="9"/>
      <c r="B52" s="1"/>
      <c r="C52" s="1"/>
      <c r="D52" s="1"/>
      <c r="E52" s="41">
        <f>FuenteTasaLibreDeRiesgo!A56</f>
        <v>1975</v>
      </c>
      <c r="F52" s="63">
        <f>FuenteRendimientoMercado!B51</f>
        <v>90.19</v>
      </c>
      <c r="G52" s="63">
        <f>FuenteRendimientoMercado!C51</f>
        <v>3.7338659999999999</v>
      </c>
      <c r="H52" s="44">
        <f t="shared" si="0"/>
        <v>0.36995137106184356</v>
      </c>
      <c r="I52" s="39"/>
      <c r="J52" s="143">
        <f>Tabla22[[#This Row],[Rentabilidad S&amp;P 500]]-'Returns by year'!B66</f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s="34" customFormat="1">
      <c r="A53" s="9"/>
      <c r="B53" s="1"/>
      <c r="C53" s="1"/>
      <c r="D53" s="1"/>
      <c r="E53" s="46">
        <f>FuenteTasaLibreDeRiesgo!A57</f>
        <v>1976</v>
      </c>
      <c r="F53" s="63">
        <f>FuenteRendimientoMercado!B52</f>
        <v>107.46</v>
      </c>
      <c r="G53" s="63">
        <f>FuenteRendimientoMercado!C52</f>
        <v>4.2231779999999999</v>
      </c>
      <c r="H53" s="44">
        <f t="shared" si="0"/>
        <v>0.23830999002106662</v>
      </c>
      <c r="I53" s="39"/>
      <c r="J53" s="143">
        <f>Tabla22[[#This Row],[Rentabilidad S&amp;P 500]]-'Returns by year'!B67</f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s="34" customFormat="1">
      <c r="A54" s="9"/>
      <c r="B54" s="1"/>
      <c r="C54" s="1"/>
      <c r="D54" s="1"/>
      <c r="E54" s="41">
        <f>FuenteTasaLibreDeRiesgo!A58</f>
        <v>1977</v>
      </c>
      <c r="F54" s="63">
        <f>FuenteRendimientoMercado!B53</f>
        <v>95.1</v>
      </c>
      <c r="G54" s="63">
        <f>FuenteRendimientoMercado!C53</f>
        <v>4.85961</v>
      </c>
      <c r="H54" s="44">
        <f t="shared" si="0"/>
        <v>-6.9797040759352322E-2</v>
      </c>
      <c r="I54" s="39"/>
      <c r="J54" s="143">
        <f>Tabla22[[#This Row],[Rentabilidad S&amp;P 500]]-'Returns by year'!B68</f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s="34" customFormat="1">
      <c r="A55" s="9"/>
      <c r="B55" s="1"/>
      <c r="C55" s="1"/>
      <c r="D55" s="1"/>
      <c r="E55" s="41">
        <f>FuenteTasaLibreDeRiesgo!A59</f>
        <v>1978</v>
      </c>
      <c r="F55" s="63">
        <f>FuenteRendimientoMercado!B54</f>
        <v>96.11</v>
      </c>
      <c r="G55" s="63">
        <f>FuenteRendimientoMercado!C54</f>
        <v>5.1803290000000004</v>
      </c>
      <c r="H55" s="44">
        <f t="shared" si="0"/>
        <v>6.50928391167193E-2</v>
      </c>
      <c r="I55" s="39"/>
      <c r="J55" s="143">
        <f>Tabla22[[#This Row],[Rentabilidad S&amp;P 500]]-'Returns by year'!B69</f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s="34" customFormat="1">
      <c r="A56" s="9"/>
      <c r="B56" s="1"/>
      <c r="C56" s="1"/>
      <c r="D56" s="1"/>
      <c r="E56" s="41">
        <f>FuenteTasaLibreDeRiesgo!A60</f>
        <v>1979</v>
      </c>
      <c r="F56" s="63">
        <f>FuenteRendimientoMercado!B55</f>
        <v>107.94</v>
      </c>
      <c r="G56" s="63">
        <f>FuenteRendimientoMercado!C55</f>
        <v>5.9690820000000002</v>
      </c>
      <c r="H56" s="44">
        <f t="shared" si="0"/>
        <v>0.18519490167516386</v>
      </c>
      <c r="I56" s="39"/>
      <c r="J56" s="143">
        <f>Tabla22[[#This Row],[Rentabilidad S&amp;P 500]]-'Returns by year'!B70</f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s="34" customFormat="1">
      <c r="A57" s="9"/>
      <c r="B57" s="1"/>
      <c r="C57" s="1"/>
      <c r="D57" s="1"/>
      <c r="E57" s="41">
        <f>FuenteTasaLibreDeRiesgo!A61</f>
        <v>1980</v>
      </c>
      <c r="F57" s="63">
        <f>FuenteRendimientoMercado!B56</f>
        <v>135.76</v>
      </c>
      <c r="G57" s="63">
        <f>FuenteRendimientoMercado!C56</f>
        <v>6.4350240000000003</v>
      </c>
      <c r="H57" s="44">
        <f t="shared" si="0"/>
        <v>0.3173524550676301</v>
      </c>
      <c r="I57" s="39"/>
      <c r="J57" s="143">
        <f>Tabla22[[#This Row],[Rentabilidad S&amp;P 500]]-'Returns by year'!B71</f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s="34" customFormat="1">
      <c r="A58" s="9"/>
      <c r="B58" s="1"/>
      <c r="C58" s="1"/>
      <c r="D58" s="1"/>
      <c r="E58" s="41">
        <f>FuenteTasaLibreDeRiesgo!A62</f>
        <v>1981</v>
      </c>
      <c r="F58" s="63">
        <f>FuenteRendimientoMercado!B57</f>
        <v>122.55</v>
      </c>
      <c r="G58" s="63">
        <f>FuenteRendimientoMercado!C57</f>
        <v>6.8260350000000001</v>
      </c>
      <c r="H58" s="44">
        <f t="shared" si="0"/>
        <v>-4.7023902474955762E-2</v>
      </c>
      <c r="I58" s="39"/>
      <c r="J58" s="143">
        <f>Tabla22[[#This Row],[Rentabilidad S&amp;P 500]]-'Returns by year'!B72</f>
        <v>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s="34" customFormat="1">
      <c r="A59" s="9"/>
      <c r="B59" s="1"/>
      <c r="C59" s="1"/>
      <c r="D59" s="1"/>
      <c r="E59" s="41">
        <f>FuenteTasaLibreDeRiesgo!A63</f>
        <v>1982</v>
      </c>
      <c r="F59" s="63">
        <f>FuenteRendimientoMercado!B58</f>
        <v>140.63999999999999</v>
      </c>
      <c r="G59" s="63">
        <f>FuenteRendimientoMercado!C58</f>
        <v>6.9335519999999997</v>
      </c>
      <c r="H59" s="44">
        <f t="shared" si="0"/>
        <v>0.20419055079559353</v>
      </c>
      <c r="I59" s="39"/>
      <c r="J59" s="143">
        <f>Tabla22[[#This Row],[Rentabilidad S&amp;P 500]]-'Returns by year'!B73</f>
        <v>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s="34" customFormat="1">
      <c r="A60" s="9"/>
      <c r="B60" s="1"/>
      <c r="C60" s="1"/>
      <c r="D60" s="1"/>
      <c r="E60" s="41">
        <f>FuenteTasaLibreDeRiesgo!A64</f>
        <v>1983</v>
      </c>
      <c r="F60" s="63">
        <f>FuenteRendimientoMercado!B59</f>
        <v>164.93</v>
      </c>
      <c r="G60" s="63">
        <f>FuenteRendimientoMercado!C59</f>
        <v>7.1249760000000002</v>
      </c>
      <c r="H60" s="44">
        <f t="shared" si="0"/>
        <v>0.22337155858930619</v>
      </c>
      <c r="I60" s="39"/>
      <c r="J60" s="143">
        <f>Tabla22[[#This Row],[Rentabilidad S&amp;P 500]]-'Returns by year'!B74</f>
        <v>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s="34" customFormat="1">
      <c r="A61" s="9"/>
      <c r="B61" s="1"/>
      <c r="C61" s="1"/>
      <c r="D61" s="1"/>
      <c r="E61" s="41">
        <f>FuenteTasaLibreDeRiesgo!A65</f>
        <v>1984</v>
      </c>
      <c r="F61" s="63">
        <f>FuenteRendimientoMercado!B60</f>
        <v>167.24</v>
      </c>
      <c r="G61" s="63">
        <f>FuenteRendimientoMercado!C60</f>
        <v>7.8268319999999996</v>
      </c>
      <c r="H61" s="44">
        <f t="shared" si="0"/>
        <v>6.14614199963621E-2</v>
      </c>
      <c r="I61" s="39"/>
      <c r="J61" s="143">
        <f>Tabla22[[#This Row],[Rentabilidad S&amp;P 500]]-'Returns by year'!B75</f>
        <v>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s="34" customFormat="1">
      <c r="A62" s="9"/>
      <c r="B62" s="1"/>
      <c r="C62" s="1"/>
      <c r="D62" s="1"/>
      <c r="E62" s="41">
        <f>FuenteTasaLibreDeRiesgo!A66</f>
        <v>1985</v>
      </c>
      <c r="F62" s="63">
        <f>FuenteRendimientoMercado!B61</f>
        <v>211.28</v>
      </c>
      <c r="G62" s="63">
        <f>FuenteRendimientoMercado!C61</f>
        <v>8.1976639999999996</v>
      </c>
      <c r="H62" s="44">
        <f t="shared" si="0"/>
        <v>0.31235149485768948</v>
      </c>
      <c r="I62" s="39"/>
      <c r="J62" s="143">
        <f>Tabla22[[#This Row],[Rentabilidad S&amp;P 500]]-'Returns by year'!B76</f>
        <v>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s="34" customFormat="1">
      <c r="A63" s="9"/>
      <c r="B63" s="1"/>
      <c r="C63" s="1"/>
      <c r="D63" s="1"/>
      <c r="E63" s="46">
        <f>FuenteTasaLibreDeRiesgo!A67</f>
        <v>1986</v>
      </c>
      <c r="F63" s="63">
        <f>FuenteRendimientoMercado!B62</f>
        <v>242.17</v>
      </c>
      <c r="G63" s="63">
        <f>FuenteRendimientoMercado!C62</f>
        <v>8.1853459999999991</v>
      </c>
      <c r="H63" s="44">
        <f t="shared" si="0"/>
        <v>0.18494578758046187</v>
      </c>
      <c r="I63" s="39"/>
      <c r="J63" s="143">
        <f>Tabla22[[#This Row],[Rentabilidad S&amp;P 500]]-'Returns by year'!B77</f>
        <v>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s="34" customFormat="1">
      <c r="A64" s="9"/>
      <c r="B64" s="1"/>
      <c r="C64" s="1"/>
      <c r="D64" s="1"/>
      <c r="E64" s="41">
        <f>FuenteTasaLibreDeRiesgo!A68</f>
        <v>1987</v>
      </c>
      <c r="F64" s="63">
        <f>FuenteRendimientoMercado!B63</f>
        <v>247.08</v>
      </c>
      <c r="G64" s="63">
        <f>FuenteRendimientoMercado!C63</f>
        <v>9.1666679999999996</v>
      </c>
      <c r="H64" s="44">
        <f t="shared" si="0"/>
        <v>5.8127216418218712E-2</v>
      </c>
      <c r="I64" s="39"/>
      <c r="J64" s="143">
        <f>Tabla22[[#This Row],[Rentabilidad S&amp;P 500]]-'Returns by year'!B78</f>
        <v>0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s="34" customFormat="1">
      <c r="A65" s="9"/>
      <c r="B65" s="1"/>
      <c r="C65" s="1"/>
      <c r="D65" s="1"/>
      <c r="E65" s="41">
        <f>FuenteTasaLibreDeRiesgo!A69</f>
        <v>1988</v>
      </c>
      <c r="F65" s="63">
        <f>FuenteRendimientoMercado!B64</f>
        <v>277.72000000000003</v>
      </c>
      <c r="G65" s="63">
        <f>FuenteRendimientoMercado!C64</f>
        <v>10.220096</v>
      </c>
      <c r="H65" s="44">
        <f t="shared" si="0"/>
        <v>0.16537192812044688</v>
      </c>
      <c r="I65" s="39"/>
      <c r="J65" s="143">
        <f>Tabla22[[#This Row],[Rentabilidad S&amp;P 500]]-'Returns by year'!B79</f>
        <v>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s="34" customFormat="1">
      <c r="A66" s="9"/>
      <c r="B66" s="1"/>
      <c r="C66" s="1"/>
      <c r="D66" s="1"/>
      <c r="E66" s="41">
        <f>FuenteTasaLibreDeRiesgo!A70</f>
        <v>1989</v>
      </c>
      <c r="F66" s="63">
        <f>FuenteRendimientoMercado!B65</f>
        <v>353.4</v>
      </c>
      <c r="G66" s="63">
        <f>FuenteRendimientoMercado!C65</f>
        <v>11.73288</v>
      </c>
      <c r="H66" s="44">
        <f t="shared" si="0"/>
        <v>0.31475183638196724</v>
      </c>
      <c r="I66" s="39"/>
      <c r="J66" s="143">
        <f>Tabla22[[#This Row],[Rentabilidad S&amp;P 500]]-'Returns by year'!B80</f>
        <v>0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s="34" customFormat="1">
      <c r="A67" s="9"/>
      <c r="B67" s="1"/>
      <c r="C67" s="1"/>
      <c r="D67" s="1"/>
      <c r="E67" s="41">
        <f>FuenteTasaLibreDeRiesgo!A71</f>
        <v>1990</v>
      </c>
      <c r="F67" s="63">
        <f>FuenteRendimientoMercado!B66</f>
        <v>330.22</v>
      </c>
      <c r="G67" s="63">
        <f>FuenteRendimientoMercado!C66</f>
        <v>12.350228</v>
      </c>
      <c r="H67" s="44">
        <f t="shared" si="0"/>
        <v>-3.0644516129032118E-2</v>
      </c>
      <c r="I67" s="39"/>
      <c r="J67" s="143">
        <f>Tabla22[[#This Row],[Rentabilidad S&amp;P 500]]-'Returns by year'!B81</f>
        <v>0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s="34" customFormat="1">
      <c r="A68" s="9"/>
      <c r="B68" s="1"/>
      <c r="C68" s="1"/>
      <c r="D68" s="1"/>
      <c r="E68" s="41">
        <f>FuenteTasaLibreDeRiesgo!A72</f>
        <v>1991</v>
      </c>
      <c r="F68" s="63">
        <f>FuenteRendimientoMercado!B67</f>
        <v>417.09</v>
      </c>
      <c r="G68" s="63">
        <f>FuenteRendimientoMercado!C67</f>
        <v>12.971499</v>
      </c>
      <c r="H68" s="44">
        <f t="shared" si="0"/>
        <v>0.30234843134879757</v>
      </c>
      <c r="I68" s="39"/>
      <c r="J68" s="143">
        <f>Tabla22[[#This Row],[Rentabilidad S&amp;P 500]]-'Returns by year'!B82</f>
        <v>0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s="34" customFormat="1">
      <c r="A69" s="9"/>
      <c r="B69" s="1"/>
      <c r="C69" s="1"/>
      <c r="D69" s="1"/>
      <c r="E69" s="41">
        <f>FuenteTasaLibreDeRiesgo!A73</f>
        <v>1992</v>
      </c>
      <c r="F69" s="63">
        <f>FuenteRendimientoMercado!B68</f>
        <v>435.71</v>
      </c>
      <c r="G69" s="63">
        <f>FuenteRendimientoMercado!C68</f>
        <v>12.635590000000001</v>
      </c>
      <c r="H69" s="44">
        <f t="shared" si="0"/>
        <v>7.493727972380064E-2</v>
      </c>
      <c r="I69" s="39"/>
      <c r="J69" s="143">
        <f>Tabla22[[#This Row],[Rentabilidad S&amp;P 500]]-'Returns by year'!B83</f>
        <v>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s="34" customFormat="1">
      <c r="A70" s="9"/>
      <c r="B70" s="1"/>
      <c r="C70" s="1"/>
      <c r="D70" s="1"/>
      <c r="E70" s="41">
        <f>FuenteTasaLibreDeRiesgo!A74</f>
        <v>1993</v>
      </c>
      <c r="F70" s="63">
        <f>FuenteRendimientoMercado!B69</f>
        <v>466.45</v>
      </c>
      <c r="G70" s="63">
        <f>FuenteRendimientoMercado!C69</f>
        <v>12.68744</v>
      </c>
      <c r="H70" s="44">
        <f t="shared" ref="H70:H97" si="1">(F70-F69+G70)/F69</f>
        <v>9.96705147919488E-2</v>
      </c>
      <c r="I70" s="39"/>
      <c r="J70" s="143">
        <f>Tabla22[[#This Row],[Rentabilidad S&amp;P 500]]-'Returns by year'!B84</f>
        <v>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s="34" customFormat="1">
      <c r="A71" s="9"/>
      <c r="B71" s="1"/>
      <c r="C71" s="1"/>
      <c r="D71" s="1"/>
      <c r="E71" s="41">
        <f>FuenteTasaLibreDeRiesgo!A75</f>
        <v>1994</v>
      </c>
      <c r="F71" s="63">
        <f>FuenteRendimientoMercado!B70</f>
        <v>459.27</v>
      </c>
      <c r="G71" s="63">
        <f>FuenteRendimientoMercado!C70</f>
        <v>13.364757000000001</v>
      </c>
      <c r="H71" s="44">
        <f t="shared" si="1"/>
        <v>1.3259206774573897E-2</v>
      </c>
      <c r="I71" s="39"/>
      <c r="J71" s="143">
        <f>Tabla22[[#This Row],[Rentabilidad S&amp;P 500]]-'Returns by year'!B85</f>
        <v>0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s="34" customFormat="1">
      <c r="A72" s="9"/>
      <c r="B72" s="1"/>
      <c r="C72" s="1"/>
      <c r="D72" s="1"/>
      <c r="E72" s="41">
        <f>FuenteTasaLibreDeRiesgo!A76</f>
        <v>1995</v>
      </c>
      <c r="F72" s="63">
        <f>FuenteRendimientoMercado!B71</f>
        <v>615.92999999999995</v>
      </c>
      <c r="G72" s="63">
        <f>FuenteRendimientoMercado!C71</f>
        <v>14.16639</v>
      </c>
      <c r="H72" s="44">
        <f t="shared" si="1"/>
        <v>0.37195198902606308</v>
      </c>
      <c r="I72" s="39"/>
      <c r="J72" s="143">
        <f>Tabla22[[#This Row],[Rentabilidad S&amp;P 500]]-'Returns by year'!B86</f>
        <v>0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s="34" customFormat="1">
      <c r="A73" s="9"/>
      <c r="B73" s="1"/>
      <c r="C73" s="1"/>
      <c r="D73" s="1"/>
      <c r="E73" s="46">
        <f>FuenteTasaLibreDeRiesgo!A77</f>
        <v>1996</v>
      </c>
      <c r="F73" s="63">
        <f>FuenteRendimientoMercado!B72</f>
        <v>740.74</v>
      </c>
      <c r="G73" s="63">
        <f>FuenteRendimientoMercado!C72</f>
        <v>14.888873999999999</v>
      </c>
      <c r="H73" s="44">
        <f t="shared" si="1"/>
        <v>0.22680966018865789</v>
      </c>
      <c r="I73" s="39"/>
      <c r="J73" s="143">
        <f>Tabla22[[#This Row],[Rentabilidad S&amp;P 500]]-'Returns by year'!B87</f>
        <v>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s="34" customFormat="1">
      <c r="A74" s="9"/>
      <c r="B74" s="1"/>
      <c r="C74" s="1"/>
      <c r="D74" s="1"/>
      <c r="E74" s="41">
        <f>FuenteTasaLibreDeRiesgo!A78</f>
        <v>1997</v>
      </c>
      <c r="F74" s="63">
        <f>FuenteRendimientoMercado!B73</f>
        <v>970.43</v>
      </c>
      <c r="G74" s="63">
        <f>FuenteRendimientoMercado!C73</f>
        <v>15.522</v>
      </c>
      <c r="H74" s="44">
        <f t="shared" si="1"/>
        <v>0.33103653103653097</v>
      </c>
      <c r="I74" s="39"/>
      <c r="J74" s="143">
        <f>Tabla22[[#This Row],[Rentabilidad S&amp;P 500]]-'Returns by year'!B88</f>
        <v>0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s="34" customFormat="1">
      <c r="A75" s="9"/>
      <c r="B75" s="1"/>
      <c r="C75" s="1"/>
      <c r="D75" s="1"/>
      <c r="E75" s="41">
        <f>FuenteTasaLibreDeRiesgo!A79</f>
        <v>1998</v>
      </c>
      <c r="F75" s="63">
        <f>FuenteRendimientoMercado!B74</f>
        <v>1229.23</v>
      </c>
      <c r="G75" s="63">
        <f>FuenteRendimientoMercado!C74</f>
        <v>16.2</v>
      </c>
      <c r="H75" s="44">
        <f t="shared" si="1"/>
        <v>0.28337953278443584</v>
      </c>
      <c r="I75" s="39"/>
      <c r="J75" s="143">
        <f>Tabla22[[#This Row],[Rentabilidad S&amp;P 500]]-'Returns by year'!B89</f>
        <v>0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s="34" customFormat="1">
      <c r="A76" s="9"/>
      <c r="B76" s="1"/>
      <c r="C76" s="1"/>
      <c r="D76" s="1"/>
      <c r="E76" s="41">
        <f>FuenteTasaLibreDeRiesgo!A80</f>
        <v>1999</v>
      </c>
      <c r="F76" s="63">
        <f>FuenteRendimientoMercado!B75</f>
        <v>1469.25</v>
      </c>
      <c r="G76" s="63">
        <f>FuenteRendimientoMercado!C75</f>
        <v>16.709</v>
      </c>
      <c r="H76" s="44">
        <f t="shared" si="1"/>
        <v>0.20885350992084475</v>
      </c>
      <c r="I76" s="39"/>
      <c r="J76" s="143">
        <f>Tabla22[[#This Row],[Rentabilidad S&amp;P 500]]-'Returns by year'!B90</f>
        <v>0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s="34" customFormat="1">
      <c r="A77" s="9"/>
      <c r="B77" s="1"/>
      <c r="C77" s="1"/>
      <c r="D77" s="1"/>
      <c r="E77" s="41">
        <f>FuenteTasaLibreDeRiesgo!A81</f>
        <v>2000</v>
      </c>
      <c r="F77" s="63">
        <f>FuenteRendimientoMercado!B76</f>
        <v>1320.28</v>
      </c>
      <c r="G77" s="63">
        <f>FuenteRendimientoMercado!C76</f>
        <v>16.27</v>
      </c>
      <c r="H77" s="44">
        <f t="shared" si="1"/>
        <v>-9.0318189552492781E-2</v>
      </c>
      <c r="I77" s="39"/>
      <c r="J77" s="143">
        <f>Tabla22[[#This Row],[Rentabilidad S&amp;P 500]]-'Returns by year'!B91</f>
        <v>0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s="34" customFormat="1">
      <c r="A78" s="9"/>
      <c r="B78" s="1"/>
      <c r="C78" s="1"/>
      <c r="D78" s="1"/>
      <c r="E78" s="41">
        <f>FuenteTasaLibreDeRiesgo!A82</f>
        <v>2001</v>
      </c>
      <c r="F78" s="63">
        <f>FuenteRendimientoMercado!B77</f>
        <v>1148.0899999999999</v>
      </c>
      <c r="G78" s="63">
        <f>FuenteRendimientoMercado!C77</f>
        <v>15.74</v>
      </c>
      <c r="H78" s="44">
        <f t="shared" si="1"/>
        <v>-0.11849759142000185</v>
      </c>
      <c r="I78" s="39"/>
      <c r="J78" s="143">
        <f>Tabla22[[#This Row],[Rentabilidad S&amp;P 500]]-'Returns by year'!B92</f>
        <v>0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s="34" customFormat="1">
      <c r="A79" s="9"/>
      <c r="B79" s="1"/>
      <c r="C79" s="1"/>
      <c r="D79" s="1"/>
      <c r="E79" s="41">
        <f>FuenteTasaLibreDeRiesgo!A83</f>
        <v>2002</v>
      </c>
      <c r="F79" s="63">
        <f>FuenteRendimientoMercado!B78</f>
        <v>879.82</v>
      </c>
      <c r="G79" s="63">
        <f>FuenteRendimientoMercado!C78</f>
        <v>16.079999999999998</v>
      </c>
      <c r="H79" s="44">
        <f t="shared" si="1"/>
        <v>-0.21966047957912699</v>
      </c>
      <c r="I79" s="39"/>
      <c r="J79" s="143">
        <f>Tabla22[[#This Row],[Rentabilidad S&amp;P 500]]-'Returns by year'!B93</f>
        <v>0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s="34" customFormat="1">
      <c r="A80" s="9"/>
      <c r="B80" s="1"/>
      <c r="C80" s="1"/>
      <c r="D80" s="1"/>
      <c r="E80" s="41">
        <f>FuenteTasaLibreDeRiesgo!A84</f>
        <v>2003</v>
      </c>
      <c r="F80" s="63">
        <f>FuenteRendimientoMercado!B79</f>
        <v>1111.9100000000001</v>
      </c>
      <c r="G80" s="63">
        <f>FuenteRendimientoMercado!C79</f>
        <v>17.39</v>
      </c>
      <c r="H80" s="44">
        <f t="shared" si="1"/>
        <v>0.28355800050010233</v>
      </c>
      <c r="I80" s="39"/>
      <c r="J80" s="143">
        <f>Tabla22[[#This Row],[Rentabilidad S&amp;P 500]]-'Returns by year'!B94</f>
        <v>0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s="34" customFormat="1">
      <c r="A81" s="9"/>
      <c r="B81" s="1"/>
      <c r="C81" s="1"/>
      <c r="D81" s="1"/>
      <c r="E81" s="41">
        <f>FuenteTasaLibreDeRiesgo!A85</f>
        <v>2004</v>
      </c>
      <c r="F81" s="63">
        <f>FuenteRendimientoMercado!B80</f>
        <v>1211.92</v>
      </c>
      <c r="G81" s="63">
        <f>FuenteRendimientoMercado!C80</f>
        <v>19.440000000000001</v>
      </c>
      <c r="H81" s="44">
        <f t="shared" si="1"/>
        <v>0.10742775944096193</v>
      </c>
      <c r="I81" s="39"/>
      <c r="J81" s="143">
        <f>Tabla22[[#This Row],[Rentabilidad S&amp;P 500]]-'Returns by year'!B95</f>
        <v>0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s="34" customFormat="1">
      <c r="A82" s="9"/>
      <c r="B82" s="1"/>
      <c r="C82" s="1"/>
      <c r="D82" s="1"/>
      <c r="E82" s="41">
        <f>FuenteTasaLibreDeRiesgo!A86</f>
        <v>2005</v>
      </c>
      <c r="F82" s="63">
        <f>FuenteRendimientoMercado!B81</f>
        <v>1248.29</v>
      </c>
      <c r="G82" s="63">
        <f>FuenteRendimientoMercado!C81</f>
        <v>22.22</v>
      </c>
      <c r="H82" s="44">
        <f t="shared" si="1"/>
        <v>4.8344775232688535E-2</v>
      </c>
      <c r="I82" s="39"/>
      <c r="J82" s="143">
        <f>Tabla22[[#This Row],[Rentabilidad S&amp;P 500]]-'Returns by year'!B96</f>
        <v>0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s="34" customFormat="1">
      <c r="A83" s="9"/>
      <c r="B83" s="1"/>
      <c r="C83" s="1"/>
      <c r="D83" s="1"/>
      <c r="E83" s="46">
        <f>FuenteTasaLibreDeRiesgo!A87</f>
        <v>2006</v>
      </c>
      <c r="F83" s="63">
        <f>FuenteRendimientoMercado!B82</f>
        <v>1418.3</v>
      </c>
      <c r="G83" s="63">
        <f>FuenteRendimientoMercado!C82</f>
        <v>24.88</v>
      </c>
      <c r="H83" s="44">
        <f t="shared" si="1"/>
        <v>0.15612557979315703</v>
      </c>
      <c r="I83" s="39"/>
      <c r="J83" s="143">
        <f>Tabla22[[#This Row],[Rentabilidad S&amp;P 500]]-'Returns by year'!B97</f>
        <v>0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s="34" customFormat="1">
      <c r="A84" s="9"/>
      <c r="B84" s="1"/>
      <c r="C84" s="1"/>
      <c r="D84" s="1"/>
      <c r="E84" s="41">
        <f>FuenteTasaLibreDeRiesgo!A88</f>
        <v>2007</v>
      </c>
      <c r="F84" s="63">
        <f>FuenteRendimientoMercado!B83</f>
        <v>1468.36</v>
      </c>
      <c r="G84" s="63">
        <f>FuenteRendimientoMercado!C83</f>
        <v>27.73</v>
      </c>
      <c r="H84" s="44">
        <f t="shared" si="1"/>
        <v>5.4847352464217694E-2</v>
      </c>
      <c r="I84" s="39"/>
      <c r="J84" s="143">
        <f>Tabla22[[#This Row],[Rentabilidad S&amp;P 500]]-'Returns by year'!B98</f>
        <v>0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s="34" customFormat="1">
      <c r="A85" s="9"/>
      <c r="B85" s="1"/>
      <c r="C85" s="1"/>
      <c r="D85" s="1"/>
      <c r="E85" s="41">
        <f>FuenteTasaLibreDeRiesgo!A89</f>
        <v>2008</v>
      </c>
      <c r="F85" s="63">
        <f>FuenteRendimientoMercado!B84</f>
        <v>903.25</v>
      </c>
      <c r="G85" s="63">
        <f>FuenteRendimientoMercado!C84</f>
        <v>28.39</v>
      </c>
      <c r="H85" s="44">
        <f t="shared" si="1"/>
        <v>-0.36552344111798191</v>
      </c>
      <c r="I85" s="39"/>
      <c r="J85" s="143">
        <f>Tabla22[[#This Row],[Rentabilidad S&amp;P 500]]-'Returns by year'!B99</f>
        <v>0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s="34" customFormat="1">
      <c r="A86" s="9"/>
      <c r="B86" s="1"/>
      <c r="C86" s="1"/>
      <c r="D86" s="1"/>
      <c r="E86" s="41">
        <f>FuenteTasaLibreDeRiesgo!A90</f>
        <v>2009</v>
      </c>
      <c r="F86" s="63">
        <f>FuenteRendimientoMercado!B85</f>
        <v>1115.0999999999999</v>
      </c>
      <c r="G86" s="63">
        <f>FuenteRendimientoMercado!C85</f>
        <v>22.41</v>
      </c>
      <c r="H86" s="44">
        <f t="shared" si="1"/>
        <v>0.25935233877663982</v>
      </c>
      <c r="I86" s="39"/>
      <c r="J86" s="143">
        <f>Tabla22[[#This Row],[Rentabilidad S&amp;P 500]]-'Returns by year'!B100</f>
        <v>0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s="34" customFormat="1">
      <c r="A87" s="9"/>
      <c r="B87" s="1"/>
      <c r="C87" s="1"/>
      <c r="D87" s="1"/>
      <c r="E87" s="41">
        <f>FuenteTasaLibreDeRiesgo!A91</f>
        <v>2010</v>
      </c>
      <c r="F87" s="63">
        <f>FuenteRendimientoMercado!B86</f>
        <v>1257.6400000000001</v>
      </c>
      <c r="G87" s="63">
        <f>FuenteRendimientoMercado!C86</f>
        <v>22.73</v>
      </c>
      <c r="H87" s="44">
        <f t="shared" si="1"/>
        <v>0.14821092278719414</v>
      </c>
      <c r="I87" s="39"/>
      <c r="J87" s="143">
        <f>Tabla22[[#This Row],[Rentabilidad S&amp;P 500]]-'Returns by year'!B101</f>
        <v>0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s="34" customFormat="1">
      <c r="A88" s="9"/>
      <c r="B88" s="1"/>
      <c r="C88" s="1"/>
      <c r="D88" s="1"/>
      <c r="E88" s="41">
        <f>FuenteTasaLibreDeRiesgo!A92</f>
        <v>2011</v>
      </c>
      <c r="F88" s="63">
        <f>FuenteRendimientoMercado!B87</f>
        <v>1257.5999999999999</v>
      </c>
      <c r="G88" s="63">
        <f>FuenteRendimientoMercado!C87</f>
        <v>26.43</v>
      </c>
      <c r="H88" s="44">
        <f t="shared" si="1"/>
        <v>2.09837473362805E-2</v>
      </c>
      <c r="I88" s="39"/>
      <c r="J88" s="143">
        <f>Tabla22[[#This Row],[Rentabilidad S&amp;P 500]]-'Returns by year'!B102</f>
        <v>0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s="34" customFormat="1">
      <c r="A89" s="9"/>
      <c r="B89" s="1"/>
      <c r="C89" s="1"/>
      <c r="D89" s="1"/>
      <c r="E89" s="41">
        <f>FuenteTasaLibreDeRiesgo!A93</f>
        <v>2012</v>
      </c>
      <c r="F89" s="63">
        <f>FuenteRendimientoMercado!B88</f>
        <v>1426.19</v>
      </c>
      <c r="G89" s="63">
        <f>FuenteRendimientoMercado!C88</f>
        <v>31.25</v>
      </c>
      <c r="H89" s="44">
        <f t="shared" si="1"/>
        <v>0.15890585241730293</v>
      </c>
      <c r="I89" s="39"/>
      <c r="J89" s="143">
        <f>Tabla22[[#This Row],[Rentabilidad S&amp;P 500]]-'Returns by year'!B103</f>
        <v>0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s="34" customFormat="1">
      <c r="A90" s="9"/>
      <c r="B90" s="1"/>
      <c r="C90" s="1"/>
      <c r="D90" s="1"/>
      <c r="E90" s="41">
        <f>FuenteTasaLibreDeRiesgo!A94</f>
        <v>2013</v>
      </c>
      <c r="F90" s="63">
        <f>FuenteRendimientoMercado!B89</f>
        <v>1848.36</v>
      </c>
      <c r="G90" s="63">
        <f>FuenteRendimientoMercado!C89</f>
        <v>36.28</v>
      </c>
      <c r="H90" s="44">
        <f t="shared" si="1"/>
        <v>0.32145085858125483</v>
      </c>
      <c r="I90" s="39"/>
      <c r="J90" s="143">
        <f>Tabla22[[#This Row],[Rentabilidad S&amp;P 500]]-'Returns by year'!B104</f>
        <v>0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s="34" customFormat="1">
      <c r="A91" s="9"/>
      <c r="B91" s="1"/>
      <c r="C91" s="1"/>
      <c r="D91" s="1"/>
      <c r="E91" s="41">
        <f>FuenteTasaLibreDeRiesgo!A95</f>
        <v>2014</v>
      </c>
      <c r="F91" s="63">
        <f>FuenteRendimientoMercado!B90</f>
        <v>2058.9</v>
      </c>
      <c r="G91" s="63">
        <f>FuenteRendimientoMercado!C90</f>
        <v>39.44</v>
      </c>
      <c r="H91" s="44">
        <f t="shared" si="1"/>
        <v>0.13524421649462237</v>
      </c>
      <c r="I91" s="39"/>
      <c r="J91" s="143">
        <f>Tabla22[[#This Row],[Rentabilidad S&amp;P 500]]-'Returns by year'!B105</f>
        <v>0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s="34" customFormat="1">
      <c r="A92" s="9"/>
      <c r="B92" s="1"/>
      <c r="C92" s="1"/>
      <c r="D92" s="1"/>
      <c r="E92" s="41">
        <f>FuenteTasaLibreDeRiesgo!A96</f>
        <v>2015</v>
      </c>
      <c r="F92" s="63">
        <f>FuenteRendimientoMercado!B91</f>
        <v>2043.9</v>
      </c>
      <c r="G92" s="63">
        <f>FuenteRendimientoMercado!C91</f>
        <v>43.39</v>
      </c>
      <c r="H92" s="44">
        <f t="shared" si="1"/>
        <v>1.3788916411676138E-2</v>
      </c>
      <c r="I92" s="39"/>
      <c r="J92" s="143">
        <f>Tabla22[[#This Row],[Rentabilidad S&amp;P 500]]-'Returns by year'!B106</f>
        <v>0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s="34" customFormat="1">
      <c r="A93" s="9"/>
      <c r="B93" s="1"/>
      <c r="C93" s="1"/>
      <c r="D93" s="1"/>
      <c r="E93" s="46">
        <f>FuenteTasaLibreDeRiesgo!A97</f>
        <v>2016</v>
      </c>
      <c r="F93" s="63">
        <f>FuenteRendimientoMercado!B92</f>
        <v>2238.83</v>
      </c>
      <c r="G93" s="63">
        <f>FuenteRendimientoMercado!C92</f>
        <v>45.7</v>
      </c>
      <c r="H93" s="44">
        <f t="shared" si="1"/>
        <v>0.11773080874798171</v>
      </c>
      <c r="I93" s="39"/>
      <c r="J93" s="143">
        <f>Tabla22[[#This Row],[Rentabilidad S&amp;P 500]]-'Returns by year'!B107</f>
        <v>0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s="34" customFormat="1">
      <c r="A94" s="9"/>
      <c r="B94" s="1"/>
      <c r="C94" s="1"/>
      <c r="D94" s="1"/>
      <c r="E94" s="41">
        <f>FuenteTasaLibreDeRiesgo!A98</f>
        <v>2017</v>
      </c>
      <c r="F94" s="63">
        <f>FuenteRendimientoMercado!B93</f>
        <v>2673.61</v>
      </c>
      <c r="G94" s="63">
        <f>FuenteRendimientoMercado!C93</f>
        <v>48.93</v>
      </c>
      <c r="H94" s="44">
        <f t="shared" si="1"/>
        <v>0.2160548143449928</v>
      </c>
      <c r="I94" s="39"/>
      <c r="J94" s="143">
        <f>Tabla22[[#This Row],[Rentabilidad S&amp;P 500]]-'Returns by year'!B108</f>
        <v>0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s="34" customFormat="1">
      <c r="A95" s="9"/>
      <c r="B95" s="1"/>
      <c r="C95" s="1"/>
      <c r="D95" s="1"/>
      <c r="E95" s="41">
        <f>FuenteTasaLibreDeRiesgo!A99</f>
        <v>2018</v>
      </c>
      <c r="F95" s="63">
        <f>FuenteRendimientoMercado!B94</f>
        <v>2506.85</v>
      </c>
      <c r="G95" s="63">
        <f>FuenteRendimientoMercado!C94</f>
        <v>53.75</v>
      </c>
      <c r="H95" s="44">
        <f t="shared" si="1"/>
        <v>-4.2268692890885438E-2</v>
      </c>
      <c r="I95" s="39"/>
      <c r="J95" s="143">
        <f>Tabla22[[#This Row],[Rentabilidad S&amp;P 500]]-'Returns by year'!B109</f>
        <v>0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s="34" customFormat="1">
      <c r="A96" s="9"/>
      <c r="B96" s="1"/>
      <c r="C96" s="1"/>
      <c r="D96" s="1"/>
      <c r="E96" s="41">
        <f>FuenteTasaLibreDeRiesgo!A100</f>
        <v>2019</v>
      </c>
      <c r="F96" s="63">
        <f>FuenteRendimientoMercado!B95</f>
        <v>3230.78</v>
      </c>
      <c r="G96" s="63">
        <f>FuenteRendimientoMercado!C95</f>
        <v>58.5</v>
      </c>
      <c r="H96" s="44">
        <f t="shared" si="1"/>
        <v>0.31211679996808755</v>
      </c>
      <c r="I96" s="39"/>
      <c r="J96" s="143">
        <f>Tabla22[[#This Row],[Rentabilidad S&amp;P 500]]-'Returns by year'!B110</f>
        <v>0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s="34" customFormat="1">
      <c r="A97" s="9"/>
      <c r="B97" s="1"/>
      <c r="C97" s="1"/>
      <c r="D97" s="1"/>
      <c r="E97" s="41">
        <f>FuenteTasaLibreDeRiesgo!A101</f>
        <v>2020</v>
      </c>
      <c r="F97" s="63">
        <f>FuenteRendimientoMercado!B96</f>
        <v>3756.07</v>
      </c>
      <c r="G97" s="63">
        <f>FuenteRendimientoMercado!C96</f>
        <v>56.7</v>
      </c>
      <c r="H97" s="44">
        <f t="shared" si="1"/>
        <v>0.18013916144089043</v>
      </c>
      <c r="I97" s="39"/>
      <c r="J97" s="143">
        <f>Tabla22[[#This Row],[Rentabilidad S&amp;P 500]]-'Returns by year'!B111</f>
        <v>0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>
      <c r="I98" s="39"/>
    </row>
    <row r="99" spans="1:22">
      <c r="I99" s="39"/>
      <c r="J99" s="143">
        <f>SUM(J5:J97)</f>
        <v>0</v>
      </c>
    </row>
    <row r="100" spans="1:22">
      <c r="I100" s="39"/>
    </row>
  </sheetData>
  <phoneticPr fontId="21" type="noConversion"/>
  <conditionalFormatting sqref="J5:J97">
    <cfRule type="cellIs" dxfId="32" priority="2" operator="equal">
      <formula>$B$1</formula>
    </cfRule>
  </conditionalFormatting>
  <conditionalFormatting sqref="J99">
    <cfRule type="cellIs" dxfId="31" priority="1" operator="equal">
      <formula>$B$1</formula>
    </cfRule>
  </conditionalFormatting>
  <hyperlinks>
    <hyperlink ref="A1" location="Indice!A1" display="Índice" xr:uid="{82FF6F7B-3A25-4155-BEBE-609F275AE6B0}"/>
  </hyperlink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D4C60-1114-4E90-9D92-A1910AEDBCE7}">
  <sheetPr>
    <tabColor rgb="FF92D050"/>
    <pageSetUpPr autoPageBreaks="0"/>
  </sheetPr>
  <dimension ref="B1:N72"/>
  <sheetViews>
    <sheetView showGridLines="0" zoomScale="85" zoomScaleNormal="85" zoomScaleSheetLayoutView="85" workbookViewId="0">
      <selection activeCell="C1" sqref="C1"/>
    </sheetView>
  </sheetViews>
  <sheetFormatPr baseColWidth="10" defaultColWidth="9.140625" defaultRowHeight="12.75"/>
  <cols>
    <col min="1" max="1" width="5.7109375" style="114" customWidth="1"/>
    <col min="2" max="2" width="14.7109375" style="114" customWidth="1"/>
    <col min="3" max="3" width="11.140625" style="114" customWidth="1"/>
    <col min="4" max="4" width="11.28515625" style="114" customWidth="1"/>
    <col min="5" max="7" width="11" style="114" customWidth="1"/>
    <col min="8" max="8" width="11.85546875" style="114" customWidth="1"/>
    <col min="9" max="9" width="11.28515625" style="114" customWidth="1"/>
    <col min="10" max="10" width="12.140625" style="114" customWidth="1"/>
    <col min="11" max="11" width="2.7109375" style="114" customWidth="1"/>
    <col min="12" max="12" width="15.42578125" style="114" customWidth="1"/>
    <col min="13" max="13" width="13.5703125" style="114" customWidth="1"/>
    <col min="14" max="14" width="14.7109375" style="114" customWidth="1"/>
    <col min="15" max="16384" width="9.140625" style="114"/>
  </cols>
  <sheetData>
    <row r="1" spans="2:14" ht="15">
      <c r="C1" s="115" t="s">
        <v>92</v>
      </c>
      <c r="D1" s="116"/>
      <c r="E1" s="116"/>
      <c r="F1" s="116"/>
      <c r="G1" s="116"/>
      <c r="H1" s="116"/>
      <c r="I1" s="116"/>
      <c r="J1" s="116"/>
      <c r="L1" s="116"/>
      <c r="M1" s="116"/>
    </row>
    <row r="2" spans="2:14" s="119" customFormat="1" ht="15.75">
      <c r="B2" s="117" t="s">
        <v>93</v>
      </c>
      <c r="C2" s="117"/>
      <c r="D2" s="118"/>
      <c r="N2" s="117"/>
    </row>
    <row r="3" spans="2:14" s="119" customFormat="1" ht="15.75">
      <c r="B3" s="120" t="s">
        <v>94</v>
      </c>
      <c r="D3" s="118"/>
      <c r="N3" s="117"/>
    </row>
    <row r="4" spans="2:14" s="119" customFormat="1" ht="14.25"/>
    <row r="5" spans="2:14" s="119" customFormat="1" ht="12.75" customHeight="1">
      <c r="B5" s="338"/>
      <c r="C5" s="341" t="s">
        <v>95</v>
      </c>
      <c r="D5" s="342"/>
      <c r="E5" s="342"/>
      <c r="F5" s="342"/>
      <c r="G5" s="342"/>
      <c r="H5" s="342"/>
      <c r="I5" s="342"/>
      <c r="J5" s="343"/>
      <c r="K5" s="121"/>
      <c r="L5" s="338" t="s">
        <v>96</v>
      </c>
      <c r="M5" s="338" t="s">
        <v>97</v>
      </c>
      <c r="N5" s="338"/>
    </row>
    <row r="6" spans="2:14" s="119" customFormat="1" ht="14.25" customHeight="1">
      <c r="B6" s="339"/>
      <c r="C6" s="344"/>
      <c r="D6" s="345"/>
      <c r="E6" s="345"/>
      <c r="F6" s="345"/>
      <c r="G6" s="345"/>
      <c r="H6" s="345"/>
      <c r="I6" s="345"/>
      <c r="J6" s="346"/>
      <c r="K6" s="121"/>
      <c r="L6" s="339"/>
      <c r="M6" s="339"/>
      <c r="N6" s="339"/>
    </row>
    <row r="7" spans="2:14" s="119" customFormat="1" ht="14.25">
      <c r="B7" s="339"/>
      <c r="C7" s="122"/>
      <c r="D7" s="122"/>
      <c r="E7" s="122"/>
      <c r="F7" s="122"/>
      <c r="G7" s="122"/>
      <c r="H7" s="122"/>
      <c r="I7" s="122"/>
      <c r="J7" s="122"/>
      <c r="K7" s="121"/>
      <c r="L7" s="339"/>
      <c r="M7" s="339"/>
      <c r="N7" s="339"/>
    </row>
    <row r="8" spans="2:14" s="119" customFormat="1" ht="19.5" customHeight="1">
      <c r="B8" s="339"/>
      <c r="C8" s="121" t="s">
        <v>98</v>
      </c>
      <c r="D8" s="121" t="s">
        <v>99</v>
      </c>
      <c r="E8" s="121" t="s">
        <v>100</v>
      </c>
      <c r="F8" s="121" t="s">
        <v>101</v>
      </c>
      <c r="G8" s="121" t="s">
        <v>102</v>
      </c>
      <c r="H8" s="121" t="s">
        <v>103</v>
      </c>
      <c r="I8" s="121" t="s">
        <v>104</v>
      </c>
      <c r="J8" s="121" t="s">
        <v>105</v>
      </c>
      <c r="K8" s="121"/>
      <c r="L8" s="339"/>
      <c r="M8" s="339"/>
      <c r="N8" s="339"/>
    </row>
    <row r="9" spans="2:14" s="119" customFormat="1" ht="19.5" customHeight="1">
      <c r="B9" s="340"/>
      <c r="C9" s="123"/>
      <c r="D9" s="123"/>
      <c r="E9" s="123"/>
      <c r="F9" s="123"/>
      <c r="G9" s="123"/>
      <c r="H9" s="123"/>
      <c r="I9" s="123"/>
      <c r="J9" s="123"/>
      <c r="K9" s="121"/>
      <c r="L9" s="340"/>
      <c r="M9" s="340"/>
      <c r="N9" s="340"/>
    </row>
    <row r="10" spans="2:14" s="119" customFormat="1" ht="19.5" customHeight="1">
      <c r="B10" s="124"/>
      <c r="C10" s="125"/>
      <c r="D10" s="125"/>
      <c r="E10" s="125"/>
      <c r="F10" s="125"/>
      <c r="G10" s="125"/>
      <c r="H10" s="125"/>
      <c r="I10" s="125"/>
      <c r="J10" s="125"/>
      <c r="K10" s="124"/>
      <c r="L10" s="125"/>
      <c r="M10" s="125"/>
      <c r="N10" s="124"/>
    </row>
    <row r="11" spans="2:14" ht="12" hidden="1" customHeight="1">
      <c r="B11" s="126">
        <v>2018</v>
      </c>
      <c r="C11" s="127">
        <v>147.21712152581699</v>
      </c>
      <c r="D11" s="127">
        <v>547.50203588681904</v>
      </c>
      <c r="E11" s="127">
        <v>264.54233719179399</v>
      </c>
      <c r="F11" s="127">
        <v>132.80911443628801</v>
      </c>
      <c r="G11" s="127">
        <v>183.425715226802</v>
      </c>
      <c r="H11" s="127">
        <v>639.82892982621297</v>
      </c>
      <c r="I11" s="127">
        <v>272.236256979735</v>
      </c>
      <c r="J11" s="127">
        <v>5162.6300371729703</v>
      </c>
      <c r="K11" s="126"/>
      <c r="L11" s="127">
        <v>469.42610656251998</v>
      </c>
      <c r="M11" s="127">
        <v>358.80203118137899</v>
      </c>
      <c r="N11" s="126">
        <v>2018</v>
      </c>
    </row>
    <row r="12" spans="2:14" ht="12" hidden="1" customHeight="1">
      <c r="B12" s="124" t="s">
        <v>106</v>
      </c>
      <c r="C12" s="125">
        <v>116.60869565217401</v>
      </c>
      <c r="D12" s="125">
        <v>348.73913043478302</v>
      </c>
      <c r="E12" s="125">
        <v>207.91304347826099</v>
      </c>
      <c r="F12" s="125">
        <v>105.695652173913</v>
      </c>
      <c r="G12" s="125">
        <v>152.39130434782601</v>
      </c>
      <c r="H12" s="125">
        <v>431.95652173912998</v>
      </c>
      <c r="I12" s="125">
        <v>224.73913043478299</v>
      </c>
      <c r="J12" s="125">
        <v>4670.5652173913004</v>
      </c>
      <c r="K12" s="124"/>
      <c r="L12" s="125">
        <v>392.21739130434798</v>
      </c>
      <c r="M12" s="125">
        <v>285.56521739130397</v>
      </c>
      <c r="N12" s="124" t="s">
        <v>107</v>
      </c>
    </row>
    <row r="13" spans="2:14" ht="12" hidden="1" customHeight="1">
      <c r="B13" s="124" t="s">
        <v>108</v>
      </c>
      <c r="C13" s="125">
        <v>132.19999999999999</v>
      </c>
      <c r="D13" s="125">
        <v>400.9</v>
      </c>
      <c r="E13" s="125">
        <v>227.35</v>
      </c>
      <c r="F13" s="125">
        <v>117.25</v>
      </c>
      <c r="G13" s="125">
        <v>173.25</v>
      </c>
      <c r="H13" s="125">
        <v>495</v>
      </c>
      <c r="I13" s="125">
        <v>233.25</v>
      </c>
      <c r="J13" s="125">
        <v>4770.1499999999996</v>
      </c>
      <c r="K13" s="124"/>
      <c r="L13" s="125">
        <v>419.95</v>
      </c>
      <c r="M13" s="125">
        <v>308.75</v>
      </c>
      <c r="N13" s="124" t="s">
        <v>108</v>
      </c>
    </row>
    <row r="14" spans="2:14" ht="12" hidden="1" customHeight="1">
      <c r="B14" s="124" t="s">
        <v>109</v>
      </c>
      <c r="C14" s="125">
        <v>147.04545454545499</v>
      </c>
      <c r="D14" s="125">
        <v>412.5</v>
      </c>
      <c r="E14" s="125">
        <v>233.68181818181799</v>
      </c>
      <c r="F14" s="125">
        <v>123.272727272727</v>
      </c>
      <c r="G14" s="125">
        <v>178.90909090909099</v>
      </c>
      <c r="H14" s="125">
        <v>545.95454545454595</v>
      </c>
      <c r="I14" s="125">
        <v>245.81818181818201</v>
      </c>
      <c r="J14" s="125">
        <v>4302.3181818181802</v>
      </c>
      <c r="K14" s="124"/>
      <c r="L14" s="125">
        <v>422.95454545454498</v>
      </c>
      <c r="M14" s="125">
        <v>319.18181818181802</v>
      </c>
      <c r="N14" s="124" t="s">
        <v>109</v>
      </c>
    </row>
    <row r="15" spans="2:14" ht="12" hidden="1" customHeight="1">
      <c r="B15" s="124" t="s">
        <v>110</v>
      </c>
      <c r="C15" s="125">
        <v>145.23809523809501</v>
      </c>
      <c r="D15" s="125">
        <v>408.57142857142901</v>
      </c>
      <c r="E15" s="125">
        <v>234.28571428571399</v>
      </c>
      <c r="F15" s="125">
        <v>123.95238095238101</v>
      </c>
      <c r="G15" s="125">
        <v>173.28571428571399</v>
      </c>
      <c r="H15" s="125">
        <v>593.90476190476204</v>
      </c>
      <c r="I15" s="125">
        <v>245.38095238095201</v>
      </c>
      <c r="J15" s="125">
        <v>4237</v>
      </c>
      <c r="K15" s="124"/>
      <c r="L15" s="125">
        <v>421.90476190476198</v>
      </c>
      <c r="M15" s="125">
        <v>322.47619047619003</v>
      </c>
      <c r="N15" s="124" t="s">
        <v>111</v>
      </c>
    </row>
    <row r="16" spans="2:14" ht="12" hidden="1" customHeight="1">
      <c r="B16" s="124" t="s">
        <v>112</v>
      </c>
      <c r="C16" s="125">
        <v>157.695652173913</v>
      </c>
      <c r="D16" s="125">
        <v>469.21739130434798</v>
      </c>
      <c r="E16" s="125">
        <v>260</v>
      </c>
      <c r="F16" s="125">
        <v>135.65217391304299</v>
      </c>
      <c r="G16" s="125">
        <v>189.91304347826099</v>
      </c>
      <c r="H16" s="125">
        <v>684.60869565217399</v>
      </c>
      <c r="I16" s="125">
        <v>268.52173913043498</v>
      </c>
      <c r="J16" s="125">
        <v>4460.1739130434798</v>
      </c>
      <c r="K16" s="124"/>
      <c r="L16" s="125">
        <v>458.13043478260897</v>
      </c>
      <c r="M16" s="125">
        <v>352.304347826087</v>
      </c>
      <c r="N16" s="124" t="s">
        <v>112</v>
      </c>
    </row>
    <row r="17" spans="2:14" ht="12" hidden="1" customHeight="1">
      <c r="B17" s="124" t="s">
        <v>113</v>
      </c>
      <c r="C17" s="125">
        <v>163.333333333333</v>
      </c>
      <c r="D17" s="125">
        <v>529.142857142857</v>
      </c>
      <c r="E17" s="125">
        <v>318.80952380952402</v>
      </c>
      <c r="F17" s="125">
        <v>142.19047619047601</v>
      </c>
      <c r="G17" s="125">
        <v>199.71428571428601</v>
      </c>
      <c r="H17" s="125">
        <v>714.76190476190504</v>
      </c>
      <c r="I17" s="125">
        <v>292.66666666666703</v>
      </c>
      <c r="J17" s="125">
        <v>4711.0476190476202</v>
      </c>
      <c r="K17" s="124"/>
      <c r="L17" s="125">
        <v>485.66666666666703</v>
      </c>
      <c r="M17" s="125">
        <v>376.95238095238102</v>
      </c>
      <c r="N17" s="124" t="s">
        <v>113</v>
      </c>
    </row>
    <row r="18" spans="2:14" ht="12" hidden="1" customHeight="1">
      <c r="B18" s="124" t="s">
        <v>114</v>
      </c>
      <c r="C18" s="125">
        <v>150.95454545454501</v>
      </c>
      <c r="D18" s="125">
        <v>572.13636363636397</v>
      </c>
      <c r="E18" s="125">
        <v>289.13636363636402</v>
      </c>
      <c r="F18" s="125">
        <v>137.272727272727</v>
      </c>
      <c r="G18" s="125">
        <v>180.772727272727</v>
      </c>
      <c r="H18" s="125">
        <v>653.72727272727298</v>
      </c>
      <c r="I18" s="125">
        <v>268.31818181818198</v>
      </c>
      <c r="J18" s="125">
        <v>4985.9545454545496</v>
      </c>
      <c r="K18" s="124"/>
      <c r="L18" s="125">
        <v>470.95454545454498</v>
      </c>
      <c r="M18" s="125">
        <v>365.81818181818198</v>
      </c>
      <c r="N18" s="124" t="s">
        <v>114</v>
      </c>
    </row>
    <row r="19" spans="2:14" ht="12" hidden="1" customHeight="1">
      <c r="B19" s="124" t="s">
        <v>115</v>
      </c>
      <c r="C19" s="125">
        <v>149.26086956521701</v>
      </c>
      <c r="D19" s="125">
        <v>668.47826086956502</v>
      </c>
      <c r="E19" s="125">
        <v>299.52173913043498</v>
      </c>
      <c r="F19" s="125">
        <v>139.39130434782601</v>
      </c>
      <c r="G19" s="125">
        <v>182.39130434782601</v>
      </c>
      <c r="H19" s="125">
        <v>680.08695652173901</v>
      </c>
      <c r="I19" s="125">
        <v>278.91304347826099</v>
      </c>
      <c r="J19" s="125">
        <v>5363.5652173913004</v>
      </c>
      <c r="K19" s="124"/>
      <c r="L19" s="125">
        <v>493.304347826087</v>
      </c>
      <c r="M19" s="125">
        <v>383.04347826087002</v>
      </c>
      <c r="N19" s="124" t="s">
        <v>116</v>
      </c>
    </row>
    <row r="20" spans="2:14" ht="12" hidden="1" customHeight="1">
      <c r="B20" s="124" t="s">
        <v>117</v>
      </c>
      <c r="C20" s="125">
        <v>139.9</v>
      </c>
      <c r="D20" s="125">
        <v>672.7</v>
      </c>
      <c r="E20" s="125">
        <v>314.39999999999998</v>
      </c>
      <c r="F20" s="125">
        <v>133.55000000000001</v>
      </c>
      <c r="G20" s="125">
        <v>177.05</v>
      </c>
      <c r="H20" s="125">
        <v>691.75</v>
      </c>
      <c r="I20" s="125">
        <v>269.85000000000002</v>
      </c>
      <c r="J20" s="125">
        <v>6076.9</v>
      </c>
      <c r="K20" s="124"/>
      <c r="L20" s="125">
        <v>497.5</v>
      </c>
      <c r="M20" s="125">
        <v>385.35</v>
      </c>
      <c r="N20" s="124" t="s">
        <v>118</v>
      </c>
    </row>
    <row r="21" spans="2:14" ht="12" hidden="1" customHeight="1">
      <c r="B21" s="124" t="s">
        <v>119</v>
      </c>
      <c r="C21" s="125">
        <v>142.695652173913</v>
      </c>
      <c r="D21" s="125">
        <v>658.60869565217399</v>
      </c>
      <c r="E21" s="125">
        <v>263.17391304347802</v>
      </c>
      <c r="F21" s="125">
        <v>128.826086956522</v>
      </c>
      <c r="G21" s="125">
        <v>179.08695652173901</v>
      </c>
      <c r="H21" s="125">
        <v>670.39130434782601</v>
      </c>
      <c r="I21" s="125">
        <v>268.13043478260897</v>
      </c>
      <c r="J21" s="125">
        <v>5803.6086956521704</v>
      </c>
      <c r="K21" s="124"/>
      <c r="L21" s="125">
        <v>491.56521739130397</v>
      </c>
      <c r="M21" s="125">
        <v>377.21739130434798</v>
      </c>
      <c r="N21" s="124" t="s">
        <v>119</v>
      </c>
    </row>
    <row r="22" spans="2:14" ht="12" hidden="1" customHeight="1">
      <c r="B22" s="124" t="s">
        <v>120</v>
      </c>
      <c r="C22" s="125">
        <v>156.863636363636</v>
      </c>
      <c r="D22" s="125">
        <v>655.36363636363603</v>
      </c>
      <c r="E22" s="125">
        <v>258.04545454545502</v>
      </c>
      <c r="F22" s="125">
        <v>146.227272727273</v>
      </c>
      <c r="G22" s="125">
        <v>201.772727272727</v>
      </c>
      <c r="H22" s="125">
        <v>747.09090909090901</v>
      </c>
      <c r="I22" s="125">
        <v>326.81818181818198</v>
      </c>
      <c r="J22" s="125">
        <v>6034.1818181818198</v>
      </c>
      <c r="K22" s="124"/>
      <c r="L22" s="125">
        <v>527.72727272727298</v>
      </c>
      <c r="M22" s="125">
        <v>404.72727272727298</v>
      </c>
      <c r="N22" s="124" t="s">
        <v>120</v>
      </c>
    </row>
    <row r="23" spans="2:14" ht="12" hidden="1" customHeight="1">
      <c r="B23" s="124" t="s">
        <v>121</v>
      </c>
      <c r="C23" s="125">
        <v>164.80952380952399</v>
      </c>
      <c r="D23" s="125">
        <v>773.66666666666697</v>
      </c>
      <c r="E23" s="125">
        <v>268.19047619047598</v>
      </c>
      <c r="F23" s="125">
        <v>160.42857142857099</v>
      </c>
      <c r="G23" s="125">
        <v>212.57142857142901</v>
      </c>
      <c r="H23" s="125">
        <v>768.71428571428601</v>
      </c>
      <c r="I23" s="125">
        <v>344.42857142857099</v>
      </c>
      <c r="J23" s="125">
        <v>6536.0952380952403</v>
      </c>
      <c r="K23" s="124"/>
      <c r="L23" s="125">
        <v>551.23809523809496</v>
      </c>
      <c r="M23" s="125">
        <v>424.23809523809501</v>
      </c>
      <c r="N23" s="124" t="s">
        <v>122</v>
      </c>
    </row>
    <row r="24" spans="2:14" ht="12" hidden="1" customHeight="1">
      <c r="B24" s="124"/>
      <c r="C24" s="125"/>
      <c r="D24" s="125"/>
      <c r="E24" s="125"/>
      <c r="F24" s="125"/>
      <c r="G24" s="125"/>
      <c r="H24" s="125"/>
      <c r="I24" s="125"/>
      <c r="J24" s="125"/>
      <c r="K24" s="124"/>
      <c r="L24" s="125"/>
      <c r="M24" s="125"/>
      <c r="N24" s="124"/>
    </row>
    <row r="25" spans="2:14" ht="12" customHeight="1">
      <c r="B25" s="126">
        <v>2019</v>
      </c>
      <c r="C25" s="127">
        <v>128.66676783361601</v>
      </c>
      <c r="D25" s="127">
        <v>1316.5430281071599</v>
      </c>
      <c r="E25" s="127">
        <v>235.45476739444101</v>
      </c>
      <c r="F25" s="127">
        <v>136.29682069138599</v>
      </c>
      <c r="G25" s="127">
        <v>183.745934500282</v>
      </c>
      <c r="H25" s="127">
        <v>693.87219869502496</v>
      </c>
      <c r="I25" s="127">
        <v>318.26263567350497</v>
      </c>
      <c r="J25" s="127">
        <v>9828.5121392496294</v>
      </c>
      <c r="K25" s="126"/>
      <c r="L25" s="127">
        <v>482.50599159294802</v>
      </c>
      <c r="M25" s="127">
        <v>356.37303704749399</v>
      </c>
      <c r="N25" s="126">
        <v>2019</v>
      </c>
    </row>
    <row r="26" spans="2:14">
      <c r="B26" s="124" t="s">
        <v>106</v>
      </c>
      <c r="C26" s="125">
        <v>152.39130434782601</v>
      </c>
      <c r="D26" s="125">
        <v>704.73913043478296</v>
      </c>
      <c r="E26" s="125">
        <v>249.91304347826099</v>
      </c>
      <c r="F26" s="125">
        <v>148.91304347826099</v>
      </c>
      <c r="G26" s="125">
        <v>201.434782608696</v>
      </c>
      <c r="H26" s="125">
        <v>714.304347826087</v>
      </c>
      <c r="I26" s="125">
        <v>328.91304347826099</v>
      </c>
      <c r="J26" s="125">
        <v>5782.6086956521704</v>
      </c>
      <c r="K26" s="124"/>
      <c r="L26" s="125">
        <v>519.43478260869597</v>
      </c>
      <c r="M26" s="125">
        <v>401.43478260869603</v>
      </c>
      <c r="N26" s="124" t="s">
        <v>107</v>
      </c>
    </row>
    <row r="27" spans="2:14">
      <c r="B27" s="124" t="s">
        <v>108</v>
      </c>
      <c r="C27" s="125">
        <v>139.5</v>
      </c>
      <c r="D27" s="125">
        <v>679.85</v>
      </c>
      <c r="E27" s="125">
        <v>235.8</v>
      </c>
      <c r="F27" s="125">
        <v>135.6</v>
      </c>
      <c r="G27" s="125">
        <v>191</v>
      </c>
      <c r="H27" s="125">
        <v>655</v>
      </c>
      <c r="I27" s="125">
        <v>319.14999999999998</v>
      </c>
      <c r="J27" s="125">
        <v>4999.3999999999996</v>
      </c>
      <c r="K27" s="124"/>
      <c r="L27" s="125">
        <v>493.15</v>
      </c>
      <c r="M27" s="125">
        <v>373</v>
      </c>
      <c r="N27" s="124" t="s">
        <v>108</v>
      </c>
    </row>
    <row r="28" spans="2:14" ht="12" customHeight="1">
      <c r="B28" s="124" t="s">
        <v>109</v>
      </c>
      <c r="C28" s="125">
        <v>135.666666666667</v>
      </c>
      <c r="D28" s="125">
        <v>748.38095238095195</v>
      </c>
      <c r="E28" s="125">
        <v>241.52380952381</v>
      </c>
      <c r="F28" s="125">
        <v>132.76190476190499</v>
      </c>
      <c r="G28" s="125">
        <v>188.142857142857</v>
      </c>
      <c r="H28" s="125">
        <v>612.57142857142901</v>
      </c>
      <c r="I28" s="125">
        <v>309.47619047619003</v>
      </c>
      <c r="J28" s="125">
        <v>5191.4761904761899</v>
      </c>
      <c r="K28" s="124"/>
      <c r="L28" s="125">
        <v>488.42857142857099</v>
      </c>
      <c r="M28" s="125">
        <v>370.80952380952402</v>
      </c>
      <c r="N28" s="124" t="s">
        <v>109</v>
      </c>
    </row>
    <row r="29" spans="2:14" ht="12" customHeight="1">
      <c r="B29" s="124" t="s">
        <v>110</v>
      </c>
      <c r="C29" s="125">
        <v>122.363636363636</v>
      </c>
      <c r="D29" s="125">
        <v>839.31818181818198</v>
      </c>
      <c r="E29" s="125">
        <v>244.272727272727</v>
      </c>
      <c r="F29" s="125">
        <v>127.681818181818</v>
      </c>
      <c r="G29" s="125">
        <v>176.95454545454501</v>
      </c>
      <c r="H29" s="125">
        <v>551.04545454545496</v>
      </c>
      <c r="I29" s="125">
        <v>295.22727272727298</v>
      </c>
      <c r="J29" s="125">
        <v>5393.2272727272702</v>
      </c>
      <c r="K29" s="124"/>
      <c r="L29" s="125">
        <v>486.13636363636402</v>
      </c>
      <c r="M29" s="125">
        <v>364.13636363636402</v>
      </c>
      <c r="N29" s="124" t="s">
        <v>111</v>
      </c>
    </row>
    <row r="30" spans="2:14" ht="12" customHeight="1">
      <c r="B30" s="124" t="s">
        <v>112</v>
      </c>
      <c r="C30" s="125">
        <v>135.695652173913</v>
      </c>
      <c r="D30" s="125">
        <v>923.91304347826099</v>
      </c>
      <c r="E30" s="125">
        <v>251.60869565217399</v>
      </c>
      <c r="F30" s="125">
        <v>132.39130434782601</v>
      </c>
      <c r="G30" s="125">
        <v>190.60869565217399</v>
      </c>
      <c r="H30" s="125">
        <v>575.26086956521704</v>
      </c>
      <c r="I30" s="125">
        <v>309.26086956521698</v>
      </c>
      <c r="J30" s="125">
        <v>5552.3043478260897</v>
      </c>
      <c r="K30" s="124"/>
      <c r="L30" s="125">
        <v>505.26086956521698</v>
      </c>
      <c r="M30" s="125">
        <v>376.82608695652198</v>
      </c>
      <c r="N30" s="124" t="s">
        <v>112</v>
      </c>
    </row>
    <row r="31" spans="2:14" ht="12" customHeight="1">
      <c r="B31" s="124" t="s">
        <v>113</v>
      </c>
      <c r="C31" s="125">
        <v>129.15</v>
      </c>
      <c r="D31" s="125">
        <v>882.75</v>
      </c>
      <c r="E31" s="125">
        <v>242.25</v>
      </c>
      <c r="F31" s="125">
        <v>137.1</v>
      </c>
      <c r="G31" s="125">
        <v>189.6</v>
      </c>
      <c r="H31" s="125">
        <v>589.79999999999995</v>
      </c>
      <c r="I31" s="125">
        <v>332.55</v>
      </c>
      <c r="J31" s="125">
        <v>6012.25</v>
      </c>
      <c r="K31" s="124"/>
      <c r="L31" s="125">
        <v>509.85</v>
      </c>
      <c r="M31" s="125">
        <v>373.95</v>
      </c>
      <c r="N31" s="124" t="s">
        <v>113</v>
      </c>
    </row>
    <row r="32" spans="2:14" ht="12" customHeight="1">
      <c r="B32" s="124" t="s">
        <v>114</v>
      </c>
      <c r="C32" s="125">
        <v>116.130434782609</v>
      </c>
      <c r="D32" s="125">
        <v>789.91304347826099</v>
      </c>
      <c r="E32" s="125">
        <v>213.565217391304</v>
      </c>
      <c r="F32" s="125">
        <v>129.695652173913</v>
      </c>
      <c r="G32" s="125">
        <v>172.47826086956499</v>
      </c>
      <c r="H32" s="125">
        <v>578.21739130434798</v>
      </c>
      <c r="I32" s="125">
        <v>326.78260869565202</v>
      </c>
      <c r="J32" s="125">
        <v>10922.956521739099</v>
      </c>
      <c r="K32" s="124"/>
      <c r="L32" s="125">
        <v>508.91304347826099</v>
      </c>
      <c r="M32" s="125">
        <v>354.04347826087002</v>
      </c>
      <c r="N32" s="124" t="s">
        <v>114</v>
      </c>
    </row>
    <row r="33" spans="2:14" ht="12" customHeight="1">
      <c r="B33" s="124" t="s">
        <v>115</v>
      </c>
      <c r="C33" s="125">
        <v>127.09090909090899</v>
      </c>
      <c r="D33" s="125">
        <v>1568.3636363636399</v>
      </c>
      <c r="E33" s="125">
        <v>233.136363636364</v>
      </c>
      <c r="F33" s="125">
        <v>135.59090909090901</v>
      </c>
      <c r="G33" s="125">
        <v>187.363636363636</v>
      </c>
      <c r="H33" s="125">
        <v>706.36363636363603</v>
      </c>
      <c r="I33" s="125">
        <v>346.72727272727298</v>
      </c>
      <c r="J33" s="125">
        <v>11526.1818181818</v>
      </c>
      <c r="K33" s="124"/>
      <c r="L33" s="125">
        <v>527.81818181818198</v>
      </c>
      <c r="M33" s="125">
        <v>372.22727272727298</v>
      </c>
      <c r="N33" s="124" t="s">
        <v>116</v>
      </c>
    </row>
    <row r="34" spans="2:14" ht="12" customHeight="1">
      <c r="B34" s="124" t="s">
        <v>117</v>
      </c>
      <c r="C34" s="125">
        <v>116.428571428571</v>
      </c>
      <c r="D34" s="125">
        <v>2190.5238095238101</v>
      </c>
      <c r="E34" s="125">
        <v>227.857142857143</v>
      </c>
      <c r="F34" s="125">
        <v>131.42857142857099</v>
      </c>
      <c r="G34" s="125">
        <v>175.857142857143</v>
      </c>
      <c r="H34" s="125">
        <v>648.76190476190504</v>
      </c>
      <c r="I34" s="125">
        <v>319.80952380952402</v>
      </c>
      <c r="J34" s="125">
        <v>13204.809523809499</v>
      </c>
      <c r="K34" s="124"/>
      <c r="L34" s="125">
        <v>495.33333333333297</v>
      </c>
      <c r="M34" s="125">
        <v>346.19047619047598</v>
      </c>
      <c r="N34" s="124" t="s">
        <v>118</v>
      </c>
    </row>
    <row r="35" spans="2:14" ht="12" customHeight="1">
      <c r="B35" s="124" t="s">
        <v>119</v>
      </c>
      <c r="C35" s="125">
        <v>126.913043478261</v>
      </c>
      <c r="D35" s="125">
        <v>2098.6086956521699</v>
      </c>
      <c r="E35" s="125">
        <v>235.47826086956499</v>
      </c>
      <c r="F35" s="125">
        <v>136.08695652173901</v>
      </c>
      <c r="G35" s="125">
        <v>178.60869565217399</v>
      </c>
      <c r="H35" s="125">
        <v>765.65217391304395</v>
      </c>
      <c r="I35" s="125">
        <v>308.86956521739103</v>
      </c>
      <c r="J35" s="125">
        <v>19515.130434782601</v>
      </c>
      <c r="K35" s="124"/>
      <c r="L35" s="125">
        <v>460</v>
      </c>
      <c r="M35" s="125">
        <v>335.304347826087</v>
      </c>
      <c r="N35" s="124" t="s">
        <v>119</v>
      </c>
    </row>
    <row r="36" spans="2:14" ht="12" customHeight="1">
      <c r="B36" s="124" t="s">
        <v>120</v>
      </c>
      <c r="C36" s="125">
        <v>126.761904761905</v>
      </c>
      <c r="D36" s="125">
        <v>2336.4285714285702</v>
      </c>
      <c r="E36" s="125">
        <v>230.142857142857</v>
      </c>
      <c r="F36" s="125">
        <v>145.857142857143</v>
      </c>
      <c r="G36" s="125">
        <v>181.857142857143</v>
      </c>
      <c r="H36" s="125">
        <v>991.76190476190504</v>
      </c>
      <c r="I36" s="125">
        <v>317.47619047619003</v>
      </c>
      <c r="J36" s="125">
        <v>15691.619047619</v>
      </c>
      <c r="K36" s="124"/>
      <c r="L36" s="125">
        <v>427.42857142857099</v>
      </c>
      <c r="M36" s="125">
        <v>318.19047619047598</v>
      </c>
      <c r="N36" s="124" t="s">
        <v>120</v>
      </c>
    </row>
    <row r="37" spans="2:14" ht="12" customHeight="1">
      <c r="B37" s="124" t="s">
        <v>121</v>
      </c>
      <c r="C37" s="125">
        <v>115.90909090909101</v>
      </c>
      <c r="D37" s="125">
        <v>2035.72727272727</v>
      </c>
      <c r="E37" s="125">
        <v>219.90909090909099</v>
      </c>
      <c r="F37" s="125">
        <v>142.45454545454501</v>
      </c>
      <c r="G37" s="125">
        <v>171.04545454545499</v>
      </c>
      <c r="H37" s="125">
        <v>937.72727272727298</v>
      </c>
      <c r="I37" s="125">
        <v>304.90909090909099</v>
      </c>
      <c r="J37" s="125">
        <v>14150.1818181818</v>
      </c>
      <c r="K37" s="124"/>
      <c r="L37" s="125">
        <v>368.31818181818198</v>
      </c>
      <c r="M37" s="125">
        <v>290.36363636363598</v>
      </c>
      <c r="N37" s="124" t="s">
        <v>122</v>
      </c>
    </row>
    <row r="38" spans="2:14" ht="12" customHeight="1">
      <c r="B38" s="124"/>
      <c r="C38" s="125"/>
      <c r="D38" s="125"/>
      <c r="E38" s="125"/>
      <c r="F38" s="125"/>
      <c r="G38" s="125"/>
      <c r="H38" s="125"/>
      <c r="I38" s="125"/>
      <c r="J38" s="125"/>
      <c r="K38" s="124"/>
      <c r="L38" s="125"/>
      <c r="M38" s="125"/>
      <c r="N38" s="124"/>
    </row>
    <row r="39" spans="2:14" ht="12" customHeight="1">
      <c r="B39" s="126">
        <v>2020</v>
      </c>
      <c r="C39" s="127">
        <v>173.441584321476</v>
      </c>
      <c r="D39" s="127">
        <v>2235.2225829725799</v>
      </c>
      <c r="E39" s="127">
        <v>316.49457933371002</v>
      </c>
      <c r="F39" s="127">
        <v>196.95915051132499</v>
      </c>
      <c r="G39" s="127">
        <v>261.42800207039301</v>
      </c>
      <c r="H39" s="127">
        <v>2371.90549830604</v>
      </c>
      <c r="I39" s="127">
        <v>474.47039808018098</v>
      </c>
      <c r="J39" s="127">
        <v>23796.487835654701</v>
      </c>
      <c r="K39" s="126"/>
      <c r="L39" s="127">
        <v>503.74342101135602</v>
      </c>
      <c r="M39" s="127">
        <v>405.72759975531699</v>
      </c>
      <c r="N39" s="126">
        <v>2020</v>
      </c>
    </row>
    <row r="40" spans="2:14" ht="12" customHeight="1">
      <c r="B40" s="124" t="s">
        <v>106</v>
      </c>
      <c r="C40" s="125">
        <v>113.869565217391</v>
      </c>
      <c r="D40" s="125">
        <v>1919.73913043478</v>
      </c>
      <c r="E40" s="125">
        <v>216.52173913043501</v>
      </c>
      <c r="F40" s="125">
        <v>142.73913043478299</v>
      </c>
      <c r="G40" s="125">
        <v>170.08695652173901</v>
      </c>
      <c r="H40" s="125">
        <v>863.17391304347802</v>
      </c>
      <c r="I40" s="125">
        <v>297.60869565217399</v>
      </c>
      <c r="J40" s="125">
        <v>15916</v>
      </c>
      <c r="K40" s="124"/>
      <c r="L40" s="125">
        <v>358</v>
      </c>
      <c r="M40" s="125">
        <v>285.95652173912998</v>
      </c>
      <c r="N40" s="124" t="s">
        <v>107</v>
      </c>
    </row>
    <row r="41" spans="2:14" ht="12" customHeight="1">
      <c r="B41" s="124" t="s">
        <v>108</v>
      </c>
      <c r="C41" s="125">
        <v>122.2</v>
      </c>
      <c r="D41" s="125">
        <v>2017.15</v>
      </c>
      <c r="E41" s="125">
        <v>209.45</v>
      </c>
      <c r="F41" s="125">
        <v>146.80000000000001</v>
      </c>
      <c r="G41" s="125">
        <v>172.7</v>
      </c>
      <c r="H41" s="125">
        <v>1190.5999999999999</v>
      </c>
      <c r="I41" s="125">
        <v>306.39999999999998</v>
      </c>
      <c r="J41" s="125">
        <v>14405.5</v>
      </c>
      <c r="K41" s="124"/>
      <c r="L41" s="125">
        <v>370.45</v>
      </c>
      <c r="M41" s="125">
        <v>297.89999999999998</v>
      </c>
      <c r="N41" s="124" t="s">
        <v>108</v>
      </c>
    </row>
    <row r="42" spans="2:14" ht="12" customHeight="1">
      <c r="B42" s="124" t="s">
        <v>109</v>
      </c>
      <c r="C42" s="125">
        <v>248.90909090909099</v>
      </c>
      <c r="D42" s="125">
        <v>3375.8181818181802</v>
      </c>
      <c r="E42" s="125">
        <v>350.72727272727298</v>
      </c>
      <c r="F42" s="125">
        <v>287.31818181818198</v>
      </c>
      <c r="G42" s="125">
        <v>345.18181818181802</v>
      </c>
      <c r="H42" s="125">
        <v>3648.6818181818198</v>
      </c>
      <c r="I42" s="125">
        <v>557.31818181818198</v>
      </c>
      <c r="J42" s="125">
        <v>14608.4545454545</v>
      </c>
      <c r="K42" s="124"/>
      <c r="L42" s="125">
        <v>627.22727272727298</v>
      </c>
      <c r="M42" s="125">
        <v>505.90909090909099</v>
      </c>
      <c r="N42" s="124" t="s">
        <v>109</v>
      </c>
    </row>
    <row r="43" spans="2:14" ht="12" customHeight="1">
      <c r="B43" s="124" t="s">
        <v>110</v>
      </c>
      <c r="C43" s="125">
        <v>277.95454545454498</v>
      </c>
      <c r="D43" s="125">
        <v>3802.9090909090901</v>
      </c>
      <c r="E43" s="125">
        <v>419.5</v>
      </c>
      <c r="F43" s="125">
        <v>306.13636363636402</v>
      </c>
      <c r="G43" s="125">
        <v>388.86363636363598</v>
      </c>
      <c r="H43" s="125">
        <v>5060.9545454545496</v>
      </c>
      <c r="I43" s="125">
        <v>673.59090909090901</v>
      </c>
      <c r="J43" s="125">
        <v>19162.8636363636</v>
      </c>
      <c r="K43" s="124"/>
      <c r="L43" s="125">
        <v>731.90909090909099</v>
      </c>
      <c r="M43" s="125">
        <v>577.54545454545496</v>
      </c>
      <c r="N43" s="124" t="s">
        <v>111</v>
      </c>
    </row>
    <row r="44" spans="2:14" ht="12" customHeight="1">
      <c r="B44" s="124" t="s">
        <v>112</v>
      </c>
      <c r="C44" s="125">
        <v>222.35</v>
      </c>
      <c r="D44" s="125">
        <v>3011.85</v>
      </c>
      <c r="E44" s="125">
        <v>415.85</v>
      </c>
      <c r="F44" s="125">
        <v>254.9</v>
      </c>
      <c r="G44" s="125">
        <v>337.7</v>
      </c>
      <c r="H44" s="125">
        <v>4308.55</v>
      </c>
      <c r="I44" s="125">
        <v>593</v>
      </c>
      <c r="J44" s="125">
        <v>25405.65</v>
      </c>
      <c r="K44" s="124"/>
      <c r="L44" s="125">
        <v>642.9</v>
      </c>
      <c r="M44" s="125">
        <v>516.04999999999995</v>
      </c>
      <c r="N44" s="124" t="s">
        <v>112</v>
      </c>
    </row>
    <row r="45" spans="2:14" ht="12" customHeight="1">
      <c r="B45" s="124" t="s">
        <v>113</v>
      </c>
      <c r="C45" s="125">
        <v>180.136363636364</v>
      </c>
      <c r="D45" s="125">
        <v>2538.5909090909099</v>
      </c>
      <c r="E45" s="125">
        <v>365.22727272727298</v>
      </c>
      <c r="F45" s="125">
        <v>209.18181818181799</v>
      </c>
      <c r="G45" s="125">
        <v>287.31818181818198</v>
      </c>
      <c r="H45" s="125">
        <v>3296.7272727272698</v>
      </c>
      <c r="I45" s="125">
        <v>507.13636363636402</v>
      </c>
      <c r="J45" s="125">
        <v>29970.1363636364</v>
      </c>
      <c r="K45" s="124"/>
      <c r="L45" s="125">
        <v>547.59090909090901</v>
      </c>
      <c r="M45" s="125">
        <v>430.27272727272702</v>
      </c>
      <c r="N45" s="124" t="s">
        <v>113</v>
      </c>
    </row>
    <row r="46" spans="2:14" ht="12" customHeight="1">
      <c r="B46" s="124" t="s">
        <v>114</v>
      </c>
      <c r="C46" s="125">
        <v>169.34782608695701</v>
      </c>
      <c r="D46" s="125">
        <v>2331.1739130434798</v>
      </c>
      <c r="E46" s="125">
        <v>354.60869565217399</v>
      </c>
      <c r="F46" s="125">
        <v>200.304347826087</v>
      </c>
      <c r="G46" s="125">
        <v>272.47826086956502</v>
      </c>
      <c r="H46" s="125">
        <v>2852.6086956521699</v>
      </c>
      <c r="I46" s="125">
        <v>506.34782608695701</v>
      </c>
      <c r="J46" s="125">
        <v>31066.217391304301</v>
      </c>
      <c r="K46" s="124"/>
      <c r="L46" s="125">
        <v>520.86956521739103</v>
      </c>
      <c r="M46" s="125">
        <v>415.82608695652198</v>
      </c>
      <c r="N46" s="124" t="s">
        <v>114</v>
      </c>
    </row>
    <row r="47" spans="2:14" ht="12" customHeight="1">
      <c r="B47" s="124" t="s">
        <v>115</v>
      </c>
      <c r="C47" s="125">
        <v>145.636363636364</v>
      </c>
      <c r="D47" s="125">
        <v>2119.45454545455</v>
      </c>
      <c r="E47" s="125">
        <v>315.36363636363598</v>
      </c>
      <c r="F47" s="125">
        <v>170.18181818181799</v>
      </c>
      <c r="G47" s="125">
        <v>241.136363636364</v>
      </c>
      <c r="H47" s="125">
        <v>2751.6363636363599</v>
      </c>
      <c r="I47" s="125">
        <v>468.45454545454498</v>
      </c>
      <c r="J47" s="125">
        <v>33695</v>
      </c>
      <c r="K47" s="124"/>
      <c r="L47" s="125">
        <v>478.40909090909099</v>
      </c>
      <c r="M47" s="125">
        <v>383.22727272727298</v>
      </c>
      <c r="N47" s="124" t="s">
        <v>116</v>
      </c>
    </row>
    <row r="48" spans="2:14" ht="12" customHeight="1">
      <c r="B48" s="124" t="s">
        <v>117</v>
      </c>
      <c r="C48" s="125">
        <v>160.40909090909099</v>
      </c>
      <c r="D48" s="125">
        <v>1532.8181818181799</v>
      </c>
      <c r="E48" s="125">
        <v>314.95454545454498</v>
      </c>
      <c r="F48" s="125">
        <v>176.5</v>
      </c>
      <c r="G48" s="125">
        <v>253.59090909090901</v>
      </c>
      <c r="H48" s="125">
        <v>1435.8636363636399</v>
      </c>
      <c r="I48" s="125">
        <v>481</v>
      </c>
      <c r="J48" s="125">
        <v>30707.727272727301</v>
      </c>
      <c r="K48" s="124"/>
      <c r="L48" s="125">
        <v>466.77272727272702</v>
      </c>
      <c r="M48" s="125">
        <v>385.86363636363598</v>
      </c>
      <c r="N48" s="124" t="s">
        <v>118</v>
      </c>
    </row>
    <row r="49" spans="2:14" ht="12" customHeight="1">
      <c r="B49" s="124" t="s">
        <v>119</v>
      </c>
      <c r="C49" s="125">
        <v>150.18181818181799</v>
      </c>
      <c r="D49" s="125">
        <v>1406.3181818181799</v>
      </c>
      <c r="E49" s="125">
        <v>307.54545454545502</v>
      </c>
      <c r="F49" s="125">
        <v>167.54545454545499</v>
      </c>
      <c r="G49" s="125">
        <v>240.40909090909099</v>
      </c>
      <c r="H49" s="125">
        <v>983.31818181818198</v>
      </c>
      <c r="I49" s="125">
        <v>478.27272727272702</v>
      </c>
      <c r="J49" s="125">
        <v>25131.772727272699</v>
      </c>
      <c r="K49" s="124"/>
      <c r="L49" s="125">
        <v>462.27272727272702</v>
      </c>
      <c r="M49" s="125">
        <v>382.86363636363598</v>
      </c>
      <c r="N49" s="124" t="s">
        <v>119</v>
      </c>
    </row>
    <row r="50" spans="2:14" ht="12" customHeight="1">
      <c r="B50" s="124" t="s">
        <v>120</v>
      </c>
      <c r="C50" s="125">
        <v>147</v>
      </c>
      <c r="D50" s="125">
        <v>1376.7619047619</v>
      </c>
      <c r="E50" s="125">
        <v>273.142857142857</v>
      </c>
      <c r="F50" s="125">
        <v>155.38095238095201</v>
      </c>
      <c r="G50" s="125">
        <v>217.71428571428601</v>
      </c>
      <c r="H50" s="125">
        <v>1027.1428571428601</v>
      </c>
      <c r="I50" s="125">
        <v>432.42857142857099</v>
      </c>
      <c r="J50" s="125">
        <v>21582.619047618999</v>
      </c>
      <c r="K50" s="124"/>
      <c r="L50" s="125">
        <v>431.47619047619003</v>
      </c>
      <c r="M50" s="125">
        <v>355.142857142857</v>
      </c>
      <c r="N50" s="124" t="s">
        <v>120</v>
      </c>
    </row>
    <row r="51" spans="2:14" ht="12" customHeight="1">
      <c r="B51" s="124" t="s">
        <v>121</v>
      </c>
      <c r="C51" s="125">
        <v>143.304347826087</v>
      </c>
      <c r="D51" s="125">
        <v>1390.0869565217399</v>
      </c>
      <c r="E51" s="125">
        <v>255.04347826086999</v>
      </c>
      <c r="F51" s="125">
        <v>146.52173913043501</v>
      </c>
      <c r="G51" s="125">
        <v>209.95652173913001</v>
      </c>
      <c r="H51" s="125">
        <v>1043.6086956521699</v>
      </c>
      <c r="I51" s="125">
        <v>392.08695652173901</v>
      </c>
      <c r="J51" s="125">
        <v>23905.9130434783</v>
      </c>
      <c r="K51" s="124"/>
      <c r="L51" s="125">
        <v>407.04347826087002</v>
      </c>
      <c r="M51" s="125">
        <v>332.17391304347802</v>
      </c>
      <c r="N51" s="124" t="s">
        <v>122</v>
      </c>
    </row>
    <row r="52" spans="2:14" ht="12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4"/>
      <c r="L52" s="125"/>
      <c r="M52" s="125"/>
      <c r="N52" s="124"/>
    </row>
    <row r="53" spans="2:14" ht="12" customHeight="1">
      <c r="B53" s="126">
        <v>2021</v>
      </c>
      <c r="C53" s="127">
        <v>143.90634920634901</v>
      </c>
      <c r="D53" s="127">
        <v>1473.06825396825</v>
      </c>
      <c r="E53" s="127">
        <v>267.76428571428602</v>
      </c>
      <c r="F53" s="127">
        <v>137.11904761904799</v>
      </c>
      <c r="G53" s="127">
        <v>218.57619047618999</v>
      </c>
      <c r="H53" s="127">
        <v>1211.87142857143</v>
      </c>
      <c r="I53" s="127">
        <v>362.37460317460301</v>
      </c>
      <c r="J53" s="127">
        <v>24476.563492063498</v>
      </c>
      <c r="K53" s="126"/>
      <c r="L53" s="127">
        <v>395.487301587302</v>
      </c>
      <c r="M53" s="127">
        <v>322.40079365079401</v>
      </c>
      <c r="N53" s="126">
        <v>2021</v>
      </c>
    </row>
    <row r="54" spans="2:14" ht="12" customHeight="1">
      <c r="B54" s="124" t="s">
        <v>106</v>
      </c>
      <c r="C54" s="125">
        <v>131.61904761904799</v>
      </c>
      <c r="D54" s="125">
        <v>1420.9047619047601</v>
      </c>
      <c r="E54" s="125">
        <v>265.142857142857</v>
      </c>
      <c r="F54" s="125">
        <v>140.857142857143</v>
      </c>
      <c r="G54" s="125">
        <v>216.42857142857099</v>
      </c>
      <c r="H54" s="125">
        <v>1181.7142857142901</v>
      </c>
      <c r="I54" s="125">
        <v>373.52380952380997</v>
      </c>
      <c r="J54" s="125">
        <v>23734.190476190499</v>
      </c>
      <c r="K54" s="124"/>
      <c r="L54" s="125">
        <v>398.76190476190499</v>
      </c>
      <c r="M54" s="125">
        <v>325.95238095238102</v>
      </c>
      <c r="N54" s="124" t="s">
        <v>107</v>
      </c>
    </row>
    <row r="55" spans="2:14" ht="12" customHeight="1">
      <c r="B55" s="124" t="s">
        <v>108</v>
      </c>
      <c r="C55" s="125">
        <v>138.1</v>
      </c>
      <c r="D55" s="125">
        <v>1470.8</v>
      </c>
      <c r="E55" s="125">
        <v>259.14999999999998</v>
      </c>
      <c r="F55" s="125">
        <v>131.5</v>
      </c>
      <c r="G55" s="125">
        <v>213.8</v>
      </c>
      <c r="H55" s="125">
        <v>1207.9000000000001</v>
      </c>
      <c r="I55" s="125">
        <v>356.6</v>
      </c>
      <c r="J55" s="125">
        <v>24678</v>
      </c>
      <c r="K55" s="124"/>
      <c r="L55" s="125">
        <v>388.7</v>
      </c>
      <c r="M55" s="125">
        <v>317.25</v>
      </c>
      <c r="N55" s="124" t="s">
        <v>108</v>
      </c>
    </row>
    <row r="56" spans="2:14" ht="12" customHeight="1">
      <c r="B56" s="124" t="s">
        <v>123</v>
      </c>
      <c r="C56" s="125">
        <v>162</v>
      </c>
      <c r="D56" s="125">
        <v>1527.5</v>
      </c>
      <c r="E56" s="125">
        <v>279</v>
      </c>
      <c r="F56" s="125">
        <v>139</v>
      </c>
      <c r="G56" s="125">
        <v>225.5</v>
      </c>
      <c r="H56" s="125">
        <v>1246</v>
      </c>
      <c r="I56" s="125">
        <v>357</v>
      </c>
      <c r="J56" s="125">
        <v>25017.5</v>
      </c>
      <c r="K56" s="124"/>
      <c r="L56" s="125">
        <v>399</v>
      </c>
      <c r="M56" s="125">
        <v>324</v>
      </c>
      <c r="N56" s="124" t="s">
        <v>123</v>
      </c>
    </row>
    <row r="57" spans="2:14" ht="12" customHeight="1">
      <c r="B57" s="128"/>
      <c r="C57" s="129"/>
      <c r="D57" s="129"/>
      <c r="E57" s="129"/>
      <c r="F57" s="129"/>
      <c r="G57" s="129"/>
      <c r="H57" s="129"/>
      <c r="I57" s="129"/>
      <c r="J57" s="129"/>
      <c r="K57" s="124"/>
      <c r="L57" s="129"/>
      <c r="M57" s="129"/>
      <c r="N57" s="128"/>
    </row>
    <row r="58" spans="2:14" ht="12" customHeight="1">
      <c r="B58" s="130" t="s">
        <v>124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 t="s">
        <v>125</v>
      </c>
    </row>
    <row r="59" spans="2:14" ht="12" customHeight="1">
      <c r="B59" s="130" t="s">
        <v>126</v>
      </c>
      <c r="C59" s="130">
        <v>-86.909090909091006</v>
      </c>
      <c r="D59" s="130">
        <v>-1848.3181818181799</v>
      </c>
      <c r="E59" s="130">
        <v>-71.727272727273004</v>
      </c>
      <c r="F59" s="130">
        <v>-148.31818181818201</v>
      </c>
      <c r="G59" s="130">
        <v>-119.681818181818</v>
      </c>
      <c r="H59" s="130">
        <v>-2402.6818181818198</v>
      </c>
      <c r="I59" s="130">
        <v>-200.31818181818201</v>
      </c>
      <c r="J59" s="130">
        <v>10409.0454545455</v>
      </c>
      <c r="K59" s="130"/>
      <c r="L59" s="130">
        <v>-228.227272727273</v>
      </c>
      <c r="M59" s="130">
        <v>-181.90909090909099</v>
      </c>
      <c r="N59" s="130" t="s">
        <v>127</v>
      </c>
    </row>
    <row r="60" spans="2:14" ht="12" customHeight="1">
      <c r="B60" s="130" t="s">
        <v>128</v>
      </c>
      <c r="C60" s="130">
        <v>18.695652173913</v>
      </c>
      <c r="D60" s="130">
        <v>137.41304347825999</v>
      </c>
      <c r="E60" s="130">
        <v>23.95652173913</v>
      </c>
      <c r="F60" s="130">
        <v>-7.5217391304350096</v>
      </c>
      <c r="G60" s="130">
        <v>15.54347826087</v>
      </c>
      <c r="H60" s="130">
        <v>202.39130434782999</v>
      </c>
      <c r="I60" s="130">
        <v>-35.086956521738998</v>
      </c>
      <c r="J60" s="130">
        <v>1111.5869565216999</v>
      </c>
      <c r="K60" s="130"/>
      <c r="L60" s="130">
        <v>-8.0434782608700193</v>
      </c>
      <c r="M60" s="130">
        <v>-8.1739130434780201</v>
      </c>
      <c r="N60" s="130" t="s">
        <v>129</v>
      </c>
    </row>
    <row r="61" spans="2:14" ht="12" customHeight="1">
      <c r="B61" s="130" t="s">
        <v>130</v>
      </c>
      <c r="C61" s="130">
        <v>23.9</v>
      </c>
      <c r="D61" s="130">
        <v>56.7</v>
      </c>
      <c r="E61" s="130">
        <v>19.850000000000001</v>
      </c>
      <c r="F61" s="130">
        <v>7.5</v>
      </c>
      <c r="G61" s="130">
        <v>11.7</v>
      </c>
      <c r="H61" s="130">
        <v>38.099999999999902</v>
      </c>
      <c r="I61" s="130">
        <v>0.39999999999997699</v>
      </c>
      <c r="J61" s="130">
        <v>339.5</v>
      </c>
      <c r="K61" s="130"/>
      <c r="L61" s="130">
        <v>10.3</v>
      </c>
      <c r="M61" s="130">
        <v>6.75</v>
      </c>
      <c r="N61" s="130" t="s">
        <v>131</v>
      </c>
    </row>
    <row r="62" spans="2:14" ht="12" customHeight="1">
      <c r="B62" s="131"/>
      <c r="C62" s="131"/>
      <c r="D62" s="131"/>
      <c r="E62" s="131"/>
      <c r="F62" s="131"/>
      <c r="G62" s="131"/>
      <c r="H62" s="131"/>
      <c r="I62" s="131"/>
      <c r="J62" s="131"/>
      <c r="K62" s="130"/>
      <c r="L62" s="131"/>
      <c r="M62" s="131"/>
      <c r="N62" s="131"/>
    </row>
    <row r="64" spans="2:14">
      <c r="B64" s="114" t="s">
        <v>132</v>
      </c>
    </row>
    <row r="65" spans="2:2">
      <c r="B65" s="114" t="s">
        <v>133</v>
      </c>
    </row>
    <row r="66" spans="2:2">
      <c r="B66" s="114" t="s">
        <v>134</v>
      </c>
    </row>
    <row r="67" spans="2:2">
      <c r="B67" s="114" t="s">
        <v>135</v>
      </c>
    </row>
    <row r="68" spans="2:2">
      <c r="B68" s="114" t="s">
        <v>136</v>
      </c>
    </row>
    <row r="69" spans="2:2">
      <c r="B69" s="114" t="s">
        <v>137</v>
      </c>
    </row>
    <row r="70" spans="2:2">
      <c r="B70" s="114" t="s">
        <v>138</v>
      </c>
    </row>
    <row r="71" spans="2:2">
      <c r="B71" s="114" t="s">
        <v>139</v>
      </c>
    </row>
    <row r="72" spans="2:2">
      <c r="B72" s="114" t="s">
        <v>140</v>
      </c>
    </row>
  </sheetData>
  <mergeCells count="5">
    <mergeCell ref="B5:B9"/>
    <mergeCell ref="C5:J6"/>
    <mergeCell ref="L5:L9"/>
    <mergeCell ref="M5:M9"/>
    <mergeCell ref="N5:N9"/>
  </mergeCells>
  <hyperlinks>
    <hyperlink ref="C8" r:id="rId1" xr:uid="{E98D89ED-4709-4D1D-95E4-3DBEB9FB6270}"/>
    <hyperlink ref="D8" r:id="rId2" xr:uid="{79FBC997-AEEB-47BE-9AC3-AE601DE60DA9}"/>
    <hyperlink ref="E8" r:id="rId3" xr:uid="{77527B0C-061B-4BF8-B98F-B9703AEC1F87}"/>
    <hyperlink ref="F8" r:id="rId4" xr:uid="{BAD2883D-C58A-43C5-987D-CC8E51FBA359}"/>
    <hyperlink ref="G8" r:id="rId5" xr:uid="{B83F8EF6-4FCF-4F04-B4B5-0EC10D355412}"/>
    <hyperlink ref="H8" r:id="rId6" xr:uid="{00E92207-FDB8-4F0F-87DB-D6A234421E63}"/>
    <hyperlink ref="I8" r:id="rId7" xr:uid="{5413E152-6E2C-4D04-A161-7EEA390A32FF}"/>
    <hyperlink ref="J8" r:id="rId8" xr:uid="{9EA1DFDA-5E87-4BE5-B5DC-1DB948150FD6}"/>
    <hyperlink ref="L5:L9" r:id="rId9" display="LATIN EMBIG Países Latinoamericanos / Latin Countries" xr:uid="{D1181003-4F96-4100-98C4-AA551B86F20A}"/>
    <hyperlink ref="M5:M9" r:id="rId10" display="EMBIG Países Emergentes / Emerging Countries" xr:uid="{DD0E5BAC-5BA9-46BD-8564-D254423865B5}"/>
    <hyperlink ref="B3" r:id="rId11" display="                       RISK INDICATORS FOR EMERGING COUNTRIES: Emerging Market Bond Index (EMBIG)   1/    Stripped Spread     2/   (In basis points)       3/" xr:uid="{2F5EFDD1-CE13-455B-955B-D388DDD907D4}"/>
    <hyperlink ref="C1" r:id="rId12" xr:uid="{E3319111-7F46-4B7D-90F7-5CE14BBF5663}"/>
  </hyperlinks>
  <printOptions horizontalCentered="1" verticalCentered="1"/>
  <pageMargins left="0.39370078740157483" right="0.39370078740157483" top="0.39370078740157483" bottom="0.19685039370078741" header="0" footer="0"/>
  <pageSetup paperSize="9" scale="62" orientation="landscape" r:id="rId1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6997-E7A8-436E-9118-1A083C296570}">
  <dimension ref="A1:T27"/>
  <sheetViews>
    <sheetView zoomScale="85" zoomScaleNormal="85" workbookViewId="0">
      <selection activeCell="C3" sqref="C3:C4"/>
    </sheetView>
  </sheetViews>
  <sheetFormatPr baseColWidth="10" defaultRowHeight="15"/>
  <cols>
    <col min="1" max="1" width="11.42578125" style="9"/>
    <col min="2" max="2" width="6" style="1" bestFit="1" customWidth="1"/>
    <col min="3" max="3" width="33.28515625" style="1" bestFit="1" customWidth="1"/>
    <col min="4" max="4" width="6.5703125" style="1" customWidth="1"/>
    <col min="5" max="5" width="16.42578125" style="39" customWidth="1"/>
    <col min="6" max="6" width="22" style="40" customWidth="1"/>
    <col min="7" max="7" width="45.85546875" style="40" bestFit="1" customWidth="1"/>
    <col min="8" max="9" width="10" style="1" customWidth="1"/>
    <col min="10" max="16384" width="11.42578125" style="1"/>
  </cols>
  <sheetData>
    <row r="1" spans="1:20">
      <c r="A1" s="35" t="s">
        <v>15</v>
      </c>
      <c r="F1" s="39"/>
      <c r="G1" s="39"/>
    </row>
    <row r="2" spans="1:20" s="34" customFormat="1">
      <c r="B2" s="1"/>
      <c r="C2" s="1"/>
      <c r="D2" s="1"/>
      <c r="E2" s="39"/>
      <c r="F2" s="39"/>
      <c r="G2" s="3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s="34" customFormat="1" ht="25.5" customHeight="1">
      <c r="A3" s="9"/>
      <c r="B3" s="1"/>
      <c r="C3" s="37" t="s">
        <v>155</v>
      </c>
      <c r="D3" s="2"/>
      <c r="E3" s="133" t="s">
        <v>11</v>
      </c>
      <c r="F3" s="133" t="s">
        <v>141</v>
      </c>
      <c r="G3" s="133" t="s">
        <v>154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s="34" customFormat="1">
      <c r="A4" s="143">
        <f>AVERAGE(FuenteRiesgoPais!C26:C37,FuenteRiesgoPais!C40:C51)/10000-C4</f>
        <v>0</v>
      </c>
      <c r="C4" s="144">
        <f>AVERAGE($G$4:$G$27)/10000</f>
        <v>1.5105417607754567E-2</v>
      </c>
      <c r="D4" s="2"/>
      <c r="E4" s="134">
        <v>2019</v>
      </c>
      <c r="F4" s="135" t="s">
        <v>142</v>
      </c>
      <c r="G4" s="138">
        <f>FuenteRiesgoPais!$C26</f>
        <v>152.39130434782601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s="34" customFormat="1">
      <c r="A5" s="9"/>
      <c r="B5" s="1"/>
      <c r="C5" s="1"/>
      <c r="D5" s="1"/>
      <c r="E5" s="41">
        <v>2019</v>
      </c>
      <c r="F5" s="132" t="s">
        <v>143</v>
      </c>
      <c r="G5" s="139">
        <f>FuenteRiesgoPais!$C27</f>
        <v>139.5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s="34" customFormat="1">
      <c r="A6" s="9"/>
      <c r="B6" s="1"/>
      <c r="D6" s="1"/>
      <c r="E6" s="136">
        <v>2019</v>
      </c>
      <c r="F6" s="137" t="s">
        <v>144</v>
      </c>
      <c r="G6" s="138">
        <f>FuenteRiesgoPais!$C28</f>
        <v>135.666666666667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s="34" customFormat="1">
      <c r="A7" s="9"/>
      <c r="B7" s="1"/>
      <c r="C7" s="1"/>
      <c r="D7" s="3"/>
      <c r="E7" s="41">
        <v>2019</v>
      </c>
      <c r="F7" s="132" t="s">
        <v>145</v>
      </c>
      <c r="G7" s="139">
        <f>FuenteRiesgoPais!$C29</f>
        <v>122.363636363636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s="34" customFormat="1">
      <c r="A8" s="9"/>
      <c r="B8" s="1"/>
      <c r="C8" s="1"/>
      <c r="D8" s="3"/>
      <c r="E8" s="136">
        <v>2019</v>
      </c>
      <c r="F8" s="137" t="s">
        <v>146</v>
      </c>
      <c r="G8" s="138">
        <f>FuenteRiesgoPais!$C30</f>
        <v>135.695652173913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s="34" customFormat="1">
      <c r="A9" s="9"/>
      <c r="B9" s="1"/>
      <c r="C9" s="1"/>
      <c r="D9" s="1"/>
      <c r="E9" s="41">
        <v>2019</v>
      </c>
      <c r="F9" s="132" t="s">
        <v>147</v>
      </c>
      <c r="G9" s="139">
        <f>FuenteRiesgoPais!$C31</f>
        <v>129.15</v>
      </c>
      <c r="H9" s="109"/>
      <c r="I9" s="8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34" customFormat="1">
      <c r="A10" s="9"/>
      <c r="B10" s="1"/>
      <c r="C10" s="1"/>
      <c r="D10" s="1"/>
      <c r="E10" s="136">
        <v>2019</v>
      </c>
      <c r="F10" s="137" t="s">
        <v>148</v>
      </c>
      <c r="G10" s="138">
        <f>FuenteRiesgoPais!$C32</f>
        <v>116.130434782609</v>
      </c>
      <c r="H10" s="10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s="34" customFormat="1">
      <c r="A11" s="9"/>
      <c r="B11" s="1"/>
      <c r="C11" s="10"/>
      <c r="D11" s="4"/>
      <c r="E11" s="41">
        <v>2019</v>
      </c>
      <c r="F11" s="132" t="s">
        <v>149</v>
      </c>
      <c r="G11" s="139">
        <f>FuenteRiesgoPais!$C33</f>
        <v>127.09090909090899</v>
      </c>
      <c r="H11" s="110"/>
      <c r="I11" s="1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s="34" customFormat="1">
      <c r="A12" s="9"/>
      <c r="B12" s="1"/>
      <c r="C12" s="1"/>
      <c r="D12" s="1"/>
      <c r="E12" s="136">
        <v>2019</v>
      </c>
      <c r="F12" s="137" t="s">
        <v>150</v>
      </c>
      <c r="G12" s="138">
        <f>FuenteRiesgoPais!$C34</f>
        <v>116.428571428571</v>
      </c>
      <c r="H12" s="10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s="34" customFormat="1">
      <c r="A13" s="9"/>
      <c r="B13" s="9"/>
      <c r="C13" s="9"/>
      <c r="D13" s="1"/>
      <c r="E13" s="41">
        <v>2019</v>
      </c>
      <c r="F13" s="132" t="s">
        <v>151</v>
      </c>
      <c r="G13" s="139">
        <f>FuenteRiesgoPais!$C35</f>
        <v>126.913043478261</v>
      </c>
      <c r="H13" s="108"/>
      <c r="I13" s="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34" customFormat="1">
      <c r="A14" s="9"/>
      <c r="B14" s="9"/>
      <c r="C14" s="8"/>
      <c r="D14" s="1"/>
      <c r="E14" s="136">
        <v>2019</v>
      </c>
      <c r="F14" s="137" t="s">
        <v>152</v>
      </c>
      <c r="G14" s="138">
        <f>FuenteRiesgoPais!$C36</f>
        <v>126.761904761905</v>
      </c>
      <c r="H14" s="108"/>
      <c r="I14" s="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34" customFormat="1">
      <c r="A15" s="9"/>
      <c r="B15" s="9"/>
      <c r="C15" s="8"/>
      <c r="D15" s="1"/>
      <c r="E15" s="41">
        <v>2019</v>
      </c>
      <c r="F15" s="132" t="s">
        <v>153</v>
      </c>
      <c r="G15" s="139">
        <f>FuenteRiesgoPais!$C37</f>
        <v>115.90909090909101</v>
      </c>
      <c r="H15" s="108"/>
      <c r="I15" s="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34" customFormat="1">
      <c r="A16" s="9"/>
      <c r="B16" s="1"/>
      <c r="C16" s="8"/>
      <c r="D16" s="1"/>
      <c r="E16" s="136">
        <v>2020</v>
      </c>
      <c r="F16" s="137" t="s">
        <v>142</v>
      </c>
      <c r="G16" s="138">
        <f>FuenteRiesgoPais!$C40</f>
        <v>113.869565217391</v>
      </c>
      <c r="H16" s="108"/>
      <c r="I16" s="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s="34" customFormat="1">
      <c r="A17" s="9"/>
      <c r="B17" s="1"/>
      <c r="C17" s="8"/>
      <c r="D17" s="1"/>
      <c r="E17" s="41">
        <v>2020</v>
      </c>
      <c r="F17" s="132" t="s">
        <v>143</v>
      </c>
      <c r="G17" s="139">
        <f>FuenteRiesgoPais!$C41</f>
        <v>122.2</v>
      </c>
      <c r="H17" s="108"/>
      <c r="I17" s="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s="34" customFormat="1">
      <c r="A18" s="9"/>
      <c r="B18" s="1"/>
      <c r="C18" s="8"/>
      <c r="D18" s="1"/>
      <c r="E18" s="136">
        <v>2020</v>
      </c>
      <c r="F18" s="137" t="s">
        <v>144</v>
      </c>
      <c r="G18" s="138">
        <f>FuenteRiesgoPais!$C42</f>
        <v>248.90909090909099</v>
      </c>
      <c r="H18" s="109"/>
      <c r="I18" s="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s="34" customFormat="1">
      <c r="A19" s="9"/>
      <c r="B19" s="1"/>
      <c r="C19" s="8"/>
      <c r="D19" s="1"/>
      <c r="E19" s="41">
        <v>2020</v>
      </c>
      <c r="F19" s="132" t="s">
        <v>145</v>
      </c>
      <c r="G19" s="139">
        <f>FuenteRiesgoPais!$C43</f>
        <v>277.95454545454498</v>
      </c>
      <c r="H19" s="109"/>
      <c r="I19" s="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34" customFormat="1">
      <c r="A20" s="9"/>
      <c r="B20" s="1"/>
      <c r="C20" s="8"/>
      <c r="D20" s="1"/>
      <c r="E20" s="136">
        <v>2020</v>
      </c>
      <c r="F20" s="137" t="s">
        <v>146</v>
      </c>
      <c r="G20" s="138">
        <f>FuenteRiesgoPais!$C44</f>
        <v>222.35</v>
      </c>
      <c r="H20" s="109"/>
      <c r="I20" s="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s="34" customFormat="1">
      <c r="A21" s="9"/>
      <c r="B21" s="1"/>
      <c r="C21" s="8"/>
      <c r="D21" s="1"/>
      <c r="E21" s="41">
        <v>2020</v>
      </c>
      <c r="F21" s="132" t="s">
        <v>147</v>
      </c>
      <c r="G21" s="139">
        <f>FuenteRiesgoPais!$C45</f>
        <v>180.136363636364</v>
      </c>
      <c r="H21" s="109"/>
      <c r="I21" s="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s="34" customFormat="1">
      <c r="A22" s="9"/>
      <c r="B22" s="1"/>
      <c r="C22" s="1"/>
      <c r="D22" s="1"/>
      <c r="E22" s="136">
        <v>2020</v>
      </c>
      <c r="F22" s="137" t="s">
        <v>148</v>
      </c>
      <c r="G22" s="138">
        <f>FuenteRiesgoPais!$C46</f>
        <v>169.34782608695701</v>
      </c>
      <c r="H22" s="10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s="34" customFormat="1">
      <c r="A23" s="9"/>
      <c r="B23" s="1"/>
      <c r="C23" s="1"/>
      <c r="D23" s="1"/>
      <c r="E23" s="41">
        <v>2020</v>
      </c>
      <c r="F23" s="132" t="s">
        <v>149</v>
      </c>
      <c r="G23" s="139">
        <f>FuenteRiesgoPais!$C47</f>
        <v>145.636363636364</v>
      </c>
      <c r="H23" s="10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s="34" customFormat="1">
      <c r="A24" s="9"/>
      <c r="B24" s="1"/>
      <c r="C24" s="1"/>
      <c r="D24" s="1"/>
      <c r="E24" s="136">
        <v>2020</v>
      </c>
      <c r="F24" s="137" t="s">
        <v>150</v>
      </c>
      <c r="G24" s="138">
        <f>FuenteRiesgoPais!$C48</f>
        <v>160.40909090909099</v>
      </c>
      <c r="H24" s="10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s="34" customFormat="1">
      <c r="A25" s="9"/>
      <c r="B25" s="1"/>
      <c r="C25" s="1"/>
      <c r="D25" s="1"/>
      <c r="E25" s="41">
        <v>2020</v>
      </c>
      <c r="F25" s="132" t="s">
        <v>151</v>
      </c>
      <c r="G25" s="139">
        <f>FuenteRiesgoPais!$C49</f>
        <v>150.18181818181799</v>
      </c>
      <c r="H25" s="10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s="34" customFormat="1">
      <c r="A26" s="9"/>
      <c r="B26" s="1"/>
      <c r="C26" s="1"/>
      <c r="D26" s="1"/>
      <c r="E26" s="136">
        <v>2020</v>
      </c>
      <c r="F26" s="137" t="s">
        <v>152</v>
      </c>
      <c r="G26" s="138">
        <f>FuenteRiesgoPais!$C50</f>
        <v>147</v>
      </c>
      <c r="H26" s="10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s="34" customFormat="1">
      <c r="A27" s="9"/>
      <c r="B27" s="1"/>
      <c r="C27" s="1"/>
      <c r="D27" s="1"/>
      <c r="E27" s="140">
        <v>2020</v>
      </c>
      <c r="F27" s="141" t="s">
        <v>153</v>
      </c>
      <c r="G27" s="142">
        <f>FuenteRiesgoPais!$C51</f>
        <v>143.304347826087</v>
      </c>
      <c r="H27" s="10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</sheetData>
  <phoneticPr fontId="21" type="noConversion"/>
  <conditionalFormatting sqref="A4">
    <cfRule type="cellIs" dxfId="22" priority="1" operator="equal">
      <formula>$B$1</formula>
    </cfRule>
  </conditionalFormatting>
  <hyperlinks>
    <hyperlink ref="A1" location="Indice!A1" display="Índice" xr:uid="{F6E0BA95-FA42-472C-A13E-44C5E1D48630}"/>
  </hyperlinks>
  <pageMargins left="0.7" right="0.7" top="0.75" bottom="0.75" header="0.3" footer="0.3"/>
  <ignoredErrors>
    <ignoredError sqref="E4:F27" calculatedColumn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54B17-B68D-4BD3-AC6C-762690281438}">
  <dimension ref="A1:O32"/>
  <sheetViews>
    <sheetView zoomScaleNormal="100" workbookViewId="0">
      <selection activeCell="F24" sqref="F24"/>
    </sheetView>
  </sheetViews>
  <sheetFormatPr baseColWidth="10" defaultRowHeight="15"/>
  <cols>
    <col min="1" max="1" width="11.42578125" style="9"/>
    <col min="2" max="3" width="11.42578125" style="1"/>
    <col min="4" max="4" width="15.42578125" style="1" bestFit="1" customWidth="1"/>
    <col min="5" max="5" width="59.7109375" style="6" bestFit="1" customWidth="1"/>
    <col min="6" max="6" width="14.28515625" style="1" bestFit="1" customWidth="1"/>
    <col min="7" max="11" width="11.28515625" style="1" bestFit="1" customWidth="1"/>
    <col min="12" max="12" width="11.42578125" style="1"/>
    <col min="13" max="13" width="15.42578125" style="1" bestFit="1" customWidth="1"/>
    <col min="14" max="15" width="14.42578125" style="1" bestFit="1" customWidth="1"/>
    <col min="16" max="16384" width="11.42578125" style="1"/>
  </cols>
  <sheetData>
    <row r="1" spans="1:15" ht="11.25" customHeight="1"/>
    <row r="2" spans="1:15" ht="9" customHeight="1"/>
    <row r="3" spans="1:15" ht="8.25" customHeight="1"/>
    <row r="4" spans="1:15">
      <c r="E4" s="7" t="s">
        <v>14</v>
      </c>
    </row>
    <row r="5" spans="1:15">
      <c r="E5" s="7"/>
    </row>
    <row r="6" spans="1:15">
      <c r="F6" s="10"/>
    </row>
    <row r="7" spans="1:15">
      <c r="D7" s="4"/>
      <c r="E7" s="32" t="s">
        <v>435</v>
      </c>
      <c r="F7" s="160">
        <f>$F$9*$F$10+$F$19*$F$20</f>
        <v>9.9042974918641266E-2</v>
      </c>
      <c r="I7" s="160">
        <f>F9*F10+F19*F21*(1-$F$25)</f>
        <v>9.9042974918641266E-2</v>
      </c>
      <c r="J7" s="143">
        <f>F7-I7</f>
        <v>0</v>
      </c>
      <c r="K7" s="10"/>
      <c r="M7" s="10"/>
      <c r="N7" s="10"/>
      <c r="O7" s="10"/>
    </row>
    <row r="8" spans="1:15">
      <c r="D8" s="4"/>
      <c r="E8" s="32"/>
      <c r="G8" s="10"/>
      <c r="I8" s="10"/>
      <c r="J8" s="10"/>
      <c r="K8" s="10"/>
      <c r="M8" s="10"/>
      <c r="N8" s="10"/>
      <c r="O8" s="10"/>
    </row>
    <row r="9" spans="1:15">
      <c r="A9" s="143">
        <f>F19+F9-1</f>
        <v>0</v>
      </c>
      <c r="B9" s="9"/>
      <c r="E9" s="32" t="s">
        <v>419</v>
      </c>
      <c r="F9" s="281">
        <f>1/($F$24+1)</f>
        <v>0.96426293591334111</v>
      </c>
      <c r="G9" s="11"/>
      <c r="H9" s="13"/>
      <c r="K9" s="15"/>
      <c r="L9" s="12"/>
      <c r="M9" s="8"/>
      <c r="N9" s="8"/>
      <c r="O9" s="8"/>
    </row>
    <row r="10" spans="1:15">
      <c r="E10" s="32" t="s">
        <v>436</v>
      </c>
      <c r="F10" s="160">
        <f>$F$12+($F$14*$F$16)+$F$17</f>
        <v>0.10215118024628055</v>
      </c>
      <c r="G10" s="4"/>
      <c r="H10" s="4"/>
      <c r="I10" s="4"/>
      <c r="J10" s="4"/>
      <c r="K10" s="4"/>
    </row>
    <row r="12" spans="1:15">
      <c r="D12" s="2"/>
      <c r="E12" s="33" t="s">
        <v>85</v>
      </c>
      <c r="F12" s="36">
        <f>TasaLibreDeRiesgo!$C$4</f>
        <v>5.2128747076616674E-2</v>
      </c>
      <c r="G12" s="13"/>
      <c r="H12" s="13"/>
      <c r="I12" s="13"/>
      <c r="J12" s="13"/>
      <c r="K12" s="13"/>
    </row>
    <row r="13" spans="1:15">
      <c r="A13" s="13" t="s">
        <v>417</v>
      </c>
      <c r="D13" s="2"/>
      <c r="E13" s="278" t="s">
        <v>201</v>
      </c>
      <c r="F13" s="279">
        <v>0.53</v>
      </c>
      <c r="H13" s="13"/>
      <c r="I13" s="13"/>
      <c r="J13" s="13"/>
      <c r="K13" s="13"/>
    </row>
    <row r="14" spans="1:15">
      <c r="D14" s="2"/>
      <c r="E14" s="33" t="s">
        <v>200</v>
      </c>
      <c r="F14" s="155">
        <f>$F$13*(1+(1-$F$25)*$F$24)</f>
        <v>0.54315564025507779</v>
      </c>
      <c r="G14" s="13"/>
      <c r="H14" s="13"/>
      <c r="I14" s="13"/>
      <c r="J14" s="13"/>
      <c r="K14" s="13"/>
      <c r="L14" s="13"/>
    </row>
    <row r="15" spans="1:15">
      <c r="D15" s="2"/>
      <c r="E15" s="278" t="s">
        <v>86</v>
      </c>
      <c r="F15" s="280">
        <f>RendimientoDelMercado!$C$4</f>
        <v>0.11641421697528424</v>
      </c>
      <c r="G15" s="9"/>
      <c r="H15" s="9"/>
      <c r="I15" s="9"/>
      <c r="J15" s="9"/>
      <c r="K15" s="13"/>
      <c r="L15" s="13"/>
    </row>
    <row r="16" spans="1:15">
      <c r="E16" s="33" t="s">
        <v>90</v>
      </c>
      <c r="F16" s="36">
        <f>RendimientoDelMercado!C8</f>
        <v>6.4285469898667569E-2</v>
      </c>
      <c r="G16" s="283"/>
      <c r="H16" s="9"/>
      <c r="I16" s="9"/>
      <c r="J16" s="277"/>
      <c r="K16" s="13"/>
      <c r="L16" s="13"/>
    </row>
    <row r="17" spans="2:15">
      <c r="D17" s="3"/>
      <c r="E17" s="33" t="s">
        <v>91</v>
      </c>
      <c r="F17" s="36">
        <f>RiesgoPais!$C$4</f>
        <v>1.5105417607754567E-2</v>
      </c>
      <c r="G17" s="9"/>
      <c r="H17" s="9"/>
      <c r="I17" s="9"/>
      <c r="J17" s="9"/>
      <c r="K17" s="13"/>
      <c r="L17" s="13"/>
    </row>
    <row r="18" spans="2:15">
      <c r="K18" s="13"/>
      <c r="L18" s="13"/>
    </row>
    <row r="19" spans="2:15">
      <c r="E19" s="32" t="s">
        <v>418</v>
      </c>
      <c r="F19" s="281">
        <f>$F$24/($F$24+1)</f>
        <v>3.573706408665879E-2</v>
      </c>
      <c r="H19" s="8"/>
      <c r="I19" s="8"/>
      <c r="J19" s="8"/>
      <c r="K19" s="13"/>
      <c r="L19" s="13"/>
    </row>
    <row r="20" spans="2:15">
      <c r="E20" s="32" t="s">
        <v>437</v>
      </c>
      <c r="F20" s="160">
        <f>$F$21*(1-$F$25)</f>
        <v>1.5176902781792009E-2</v>
      </c>
      <c r="G20" s="9"/>
      <c r="H20" s="9"/>
      <c r="I20" s="9"/>
      <c r="J20" s="9"/>
      <c r="K20" s="13"/>
      <c r="L20" s="9"/>
      <c r="M20" s="8"/>
      <c r="N20" s="8"/>
    </row>
    <row r="21" spans="2:15">
      <c r="E21" s="278" t="s">
        <v>434</v>
      </c>
      <c r="F21" s="280">
        <f>CostoDeDeuda!G16</f>
        <v>2.2660549132948127E-2</v>
      </c>
      <c r="G21" s="9"/>
      <c r="H21" s="9"/>
      <c r="I21" s="9"/>
      <c r="J21" s="9"/>
      <c r="K21" s="9"/>
      <c r="L21" s="9"/>
      <c r="M21" s="8"/>
      <c r="N21" s="8"/>
    </row>
    <row r="22" spans="2:15">
      <c r="D22" s="4"/>
      <c r="E22" s="5"/>
      <c r="F22" s="10"/>
      <c r="G22" s="10"/>
      <c r="H22" s="10"/>
      <c r="I22" s="10"/>
      <c r="J22" s="10"/>
      <c r="K22" s="10"/>
      <c r="M22" s="10"/>
      <c r="N22" s="10"/>
      <c r="O22" s="10"/>
    </row>
    <row r="23" spans="2:15">
      <c r="G23" s="8"/>
      <c r="H23" s="8"/>
      <c r="I23" s="8"/>
      <c r="J23" s="8"/>
      <c r="K23" s="8"/>
      <c r="L23" s="8"/>
    </row>
    <row r="24" spans="2:15">
      <c r="B24" s="9"/>
      <c r="E24" s="32" t="s">
        <v>183</v>
      </c>
      <c r="F24" s="281">
        <f>EstructuraFinanciera!J10</f>
        <v>3.7061534520985158E-2</v>
      </c>
      <c r="G24" s="13"/>
      <c r="K24" s="13"/>
      <c r="L24" s="9"/>
      <c r="M24" s="9"/>
      <c r="N24" s="9"/>
      <c r="O24" s="9"/>
    </row>
    <row r="25" spans="2:15">
      <c r="E25" s="32" t="s">
        <v>202</v>
      </c>
      <c r="F25" s="275">
        <f>1-(1-F26)*(1-F27)</f>
        <v>0.33024999999999993</v>
      </c>
    </row>
    <row r="26" spans="2:15">
      <c r="B26" s="9"/>
      <c r="E26" s="33" t="s">
        <v>204</v>
      </c>
      <c r="F26" s="36">
        <v>0.29499999999999998</v>
      </c>
      <c r="G26" s="11"/>
      <c r="H26" s="11"/>
      <c r="K26" s="3"/>
      <c r="L26" s="9"/>
      <c r="M26" s="8"/>
      <c r="N26" s="8"/>
      <c r="O26" s="8"/>
    </row>
    <row r="27" spans="2:15">
      <c r="E27" s="33" t="s">
        <v>438</v>
      </c>
      <c r="F27" s="36">
        <v>0.05</v>
      </c>
      <c r="G27" s="11"/>
      <c r="H27" s="11"/>
      <c r="K27" s="3"/>
      <c r="L27" s="9"/>
      <c r="M27" s="8"/>
      <c r="N27" s="8"/>
      <c r="O27" s="8"/>
    </row>
    <row r="28" spans="2:15">
      <c r="E28" s="14"/>
      <c r="F28" s="9"/>
      <c r="G28" s="11"/>
      <c r="H28" s="11"/>
      <c r="K28" s="3"/>
      <c r="L28" s="9"/>
      <c r="M28" s="8"/>
      <c r="N28" s="8"/>
      <c r="O28" s="8"/>
    </row>
    <row r="29" spans="2:15">
      <c r="E29" s="14"/>
      <c r="F29" s="9"/>
      <c r="G29" s="11"/>
      <c r="H29" s="11"/>
      <c r="K29" s="3"/>
      <c r="L29" s="9"/>
      <c r="M29" s="8"/>
      <c r="N29" s="8"/>
      <c r="O29" s="8"/>
    </row>
    <row r="30" spans="2:15">
      <c r="E30" s="32" t="s">
        <v>439</v>
      </c>
      <c r="F30" s="281">
        <f>(1+F7)/(1+F31)-1</f>
        <v>7.4475109363223657E-2</v>
      </c>
      <c r="G30" s="11"/>
      <c r="H30" s="11"/>
      <c r="I30" s="11"/>
      <c r="J30" s="11"/>
      <c r="K30" s="11"/>
      <c r="L30" s="9"/>
      <c r="M30" s="8"/>
      <c r="N30" s="8"/>
      <c r="O30" s="8"/>
    </row>
    <row r="31" spans="2:15">
      <c r="E31" s="33" t="s">
        <v>440</v>
      </c>
      <c r="F31" s="36">
        <f>SupuestoTipoDeCambioReal!L16</f>
        <v>2.2864992721867206E-2</v>
      </c>
      <c r="G31" s="11"/>
      <c r="H31" s="11"/>
      <c r="I31" s="11"/>
      <c r="J31" s="11"/>
      <c r="K31" s="11"/>
      <c r="L31" s="9"/>
      <c r="M31" s="8"/>
      <c r="N31" s="8"/>
      <c r="O31" s="8"/>
    </row>
    <row r="32" spans="2:15">
      <c r="F32" s="11"/>
      <c r="G32" s="11"/>
      <c r="H32" s="11"/>
      <c r="I32" s="11"/>
      <c r="J32" s="11"/>
      <c r="K32" s="11"/>
      <c r="L32" s="9"/>
      <c r="M32" s="8"/>
      <c r="N32" s="8"/>
      <c r="O32" s="8"/>
    </row>
  </sheetData>
  <conditionalFormatting sqref="A9">
    <cfRule type="cellIs" dxfId="21" priority="3" operator="equal">
      <formula>$B$1</formula>
    </cfRule>
  </conditionalFormatting>
  <conditionalFormatting sqref="J7">
    <cfRule type="cellIs" dxfId="20" priority="1" operator="equal">
      <formula>$B$1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18960-C827-4DBF-A94B-B7585B7C02B6}">
  <sheetPr>
    <tabColor theme="9" tint="-0.499984740745262"/>
  </sheetPr>
  <dimension ref="A1"/>
  <sheetViews>
    <sheetView zoomScale="160" zoomScaleNormal="160" workbookViewId="0">
      <selection activeCell="H5" sqref="H5"/>
    </sheetView>
  </sheetViews>
  <sheetFormatPr baseColWidth="10" defaultRowHeight="1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216A0-D418-4CD8-888A-37B814734E39}">
  <sheetPr>
    <tabColor theme="9" tint="-0.499984740745262"/>
  </sheetPr>
  <dimension ref="A1"/>
  <sheetViews>
    <sheetView workbookViewId="0">
      <selection activeCell="H5" sqref="H5"/>
    </sheetView>
  </sheetViews>
  <sheetFormatPr baseColWidth="10" defaultRowHeight="1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7F122-1B9C-4F20-9E01-229CED7D2286}">
  <sheetPr>
    <tabColor theme="9" tint="-0.499984740745262"/>
  </sheetPr>
  <dimension ref="A1"/>
  <sheetViews>
    <sheetView workbookViewId="0">
      <selection activeCell="H5" sqref="H5"/>
    </sheetView>
  </sheetViews>
  <sheetFormatPr baseColWidth="10"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122F6-B097-4523-B271-C71624057D9A}">
  <dimension ref="B1:T62"/>
  <sheetViews>
    <sheetView topLeftCell="C1" workbookViewId="0">
      <selection activeCell="R15" sqref="R15"/>
    </sheetView>
  </sheetViews>
  <sheetFormatPr baseColWidth="10" defaultColWidth="9.140625" defaultRowHeight="15"/>
  <cols>
    <col min="1" max="1" width="9.140625" style="256" customWidth="1"/>
    <col min="2" max="2" width="63.85546875" style="256" customWidth="1"/>
    <col min="3" max="3" width="6.5703125" style="256" customWidth="1"/>
    <col min="4" max="4" width="10" style="256" customWidth="1"/>
    <col min="5" max="5" width="8.140625" style="256" customWidth="1"/>
    <col min="6" max="6" width="10" style="256" customWidth="1"/>
    <col min="7" max="7" width="6.5703125" style="256" customWidth="1"/>
    <col min="8" max="8" width="11.140625" style="256" customWidth="1"/>
    <col min="9" max="9" width="8.7109375" style="256" customWidth="1"/>
    <col min="10" max="10" width="10.140625" style="256" customWidth="1"/>
    <col min="11" max="11" width="9.28515625" style="256" customWidth="1"/>
    <col min="12" max="12" width="5.7109375" style="256" customWidth="1"/>
    <col min="13" max="13" width="9.42578125" style="256" customWidth="1"/>
    <col min="14" max="14" width="10.5703125" style="256" customWidth="1"/>
    <col min="15" max="15" width="7" style="256" customWidth="1"/>
    <col min="16" max="16" width="7.5703125" style="256" customWidth="1"/>
    <col min="17" max="17" width="5.7109375" style="256" customWidth="1"/>
    <col min="18" max="19" width="13.5703125" style="256" customWidth="1"/>
    <col min="20" max="20" width="10.140625" style="256" customWidth="1"/>
    <col min="21" max="16384" width="9.140625" style="256"/>
  </cols>
  <sheetData>
    <row r="1" spans="2:20">
      <c r="D1" s="256" t="s">
        <v>414</v>
      </c>
    </row>
    <row r="2" spans="2:20">
      <c r="B2" s="305" t="s">
        <v>366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</row>
    <row r="4" spans="2:20">
      <c r="B4" s="305" t="s">
        <v>367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</row>
    <row r="7" spans="2:20">
      <c r="B7" s="257" t="s">
        <v>368</v>
      </c>
      <c r="C7" s="257" t="s">
        <v>369</v>
      </c>
      <c r="D7" s="257" t="s">
        <v>370</v>
      </c>
      <c r="E7" s="257" t="s">
        <v>371</v>
      </c>
      <c r="F7" s="257" t="s">
        <v>372</v>
      </c>
      <c r="G7" s="257" t="s">
        <v>373</v>
      </c>
      <c r="H7" s="257" t="s">
        <v>374</v>
      </c>
      <c r="I7" s="257" t="s">
        <v>375</v>
      </c>
      <c r="J7" s="257" t="s">
        <v>376</v>
      </c>
      <c r="K7" s="257" t="s">
        <v>377</v>
      </c>
      <c r="L7" s="257" t="s">
        <v>378</v>
      </c>
      <c r="M7" s="257" t="s">
        <v>379</v>
      </c>
      <c r="N7" s="257" t="s">
        <v>380</v>
      </c>
      <c r="O7" s="257" t="s">
        <v>381</v>
      </c>
      <c r="P7" s="257" t="s">
        <v>382</v>
      </c>
      <c r="Q7" s="257" t="s">
        <v>383</v>
      </c>
      <c r="R7" s="257" t="s">
        <v>384</v>
      </c>
      <c r="S7" s="257" t="s">
        <v>384</v>
      </c>
      <c r="T7" s="257" t="s">
        <v>385</v>
      </c>
    </row>
    <row r="8" spans="2:20">
      <c r="B8" s="258" t="s">
        <v>386</v>
      </c>
      <c r="C8" s="259">
        <v>0.81</v>
      </c>
      <c r="D8" s="259">
        <v>5.39</v>
      </c>
      <c r="E8" s="259">
        <v>2.11</v>
      </c>
      <c r="F8" s="259">
        <v>3.58</v>
      </c>
      <c r="G8" s="259">
        <v>2.88</v>
      </c>
      <c r="H8" s="259">
        <v>2.2000000000000002</v>
      </c>
      <c r="I8" s="260" t="s">
        <v>387</v>
      </c>
      <c r="J8" s="259">
        <v>3.74</v>
      </c>
      <c r="K8" s="260" t="s">
        <v>387</v>
      </c>
      <c r="L8" s="259">
        <v>1.78</v>
      </c>
      <c r="M8" s="260" t="s">
        <v>387</v>
      </c>
      <c r="N8" s="259">
        <v>6</v>
      </c>
      <c r="O8" s="260" t="s">
        <v>387</v>
      </c>
      <c r="P8" s="260" t="s">
        <v>387</v>
      </c>
      <c r="Q8" s="259">
        <v>3.46</v>
      </c>
      <c r="R8" s="260" t="s">
        <v>388</v>
      </c>
      <c r="S8" s="260" t="s">
        <v>388</v>
      </c>
      <c r="T8" s="261">
        <v>2.34</v>
      </c>
    </row>
    <row r="9" spans="2:20">
      <c r="B9" s="262" t="s">
        <v>389</v>
      </c>
      <c r="C9" s="263">
        <v>2.66</v>
      </c>
      <c r="D9" s="264" t="s">
        <v>387</v>
      </c>
      <c r="E9" s="263">
        <v>2.34</v>
      </c>
      <c r="F9" s="263">
        <v>3.86</v>
      </c>
      <c r="G9" s="263">
        <v>4.0999999999999996</v>
      </c>
      <c r="H9" s="263">
        <v>1.67</v>
      </c>
      <c r="I9" s="264" t="s">
        <v>387</v>
      </c>
      <c r="J9" s="263">
        <v>4.07</v>
      </c>
      <c r="K9" s="264" t="s">
        <v>387</v>
      </c>
      <c r="L9" s="264" t="s">
        <v>387</v>
      </c>
      <c r="M9" s="264" t="s">
        <v>387</v>
      </c>
      <c r="N9" s="263">
        <v>6.01</v>
      </c>
      <c r="O9" s="264" t="s">
        <v>387</v>
      </c>
      <c r="P9" s="264" t="s">
        <v>387</v>
      </c>
      <c r="Q9" s="264" t="s">
        <v>387</v>
      </c>
      <c r="R9" s="264" t="s">
        <v>387</v>
      </c>
      <c r="S9" s="264" t="s">
        <v>387</v>
      </c>
      <c r="T9" s="265">
        <v>4.01</v>
      </c>
    </row>
    <row r="10" spans="2:20">
      <c r="B10" s="262" t="s">
        <v>390</v>
      </c>
      <c r="C10" s="263">
        <v>0.27</v>
      </c>
      <c r="D10" s="264" t="s">
        <v>387</v>
      </c>
      <c r="E10" s="263">
        <v>0.92</v>
      </c>
      <c r="F10" s="263">
        <v>2.39</v>
      </c>
      <c r="G10" s="263">
        <v>1.85</v>
      </c>
      <c r="H10" s="263">
        <v>2.5499999999999998</v>
      </c>
      <c r="I10" s="264" t="s">
        <v>387</v>
      </c>
      <c r="J10" s="264" t="s">
        <v>387</v>
      </c>
      <c r="K10" s="264" t="s">
        <v>387</v>
      </c>
      <c r="L10" s="264" t="s">
        <v>387</v>
      </c>
      <c r="M10" s="264" t="s">
        <v>387</v>
      </c>
      <c r="N10" s="264" t="s">
        <v>387</v>
      </c>
      <c r="O10" s="264" t="s">
        <v>387</v>
      </c>
      <c r="P10" s="264" t="s">
        <v>387</v>
      </c>
      <c r="Q10" s="264" t="s">
        <v>387</v>
      </c>
      <c r="R10" s="264" t="s">
        <v>388</v>
      </c>
      <c r="S10" s="264" t="s">
        <v>388</v>
      </c>
      <c r="T10" s="265">
        <v>1.4</v>
      </c>
    </row>
    <row r="11" spans="2:20">
      <c r="B11" s="262" t="s">
        <v>391</v>
      </c>
      <c r="C11" s="263">
        <v>1.37</v>
      </c>
      <c r="D11" s="263">
        <v>5.39</v>
      </c>
      <c r="E11" s="263">
        <v>2.1</v>
      </c>
      <c r="F11" s="263">
        <v>7.25</v>
      </c>
      <c r="G11" s="263">
        <v>1.89</v>
      </c>
      <c r="H11" s="263">
        <v>0.5</v>
      </c>
      <c r="I11" s="264" t="s">
        <v>387</v>
      </c>
      <c r="J11" s="263">
        <v>1.44</v>
      </c>
      <c r="K11" s="264" t="s">
        <v>387</v>
      </c>
      <c r="L11" s="263">
        <v>1.78</v>
      </c>
      <c r="M11" s="264" t="s">
        <v>387</v>
      </c>
      <c r="N11" s="263">
        <v>4.38</v>
      </c>
      <c r="O11" s="264" t="s">
        <v>387</v>
      </c>
      <c r="P11" s="264" t="s">
        <v>387</v>
      </c>
      <c r="Q11" s="263">
        <v>3.46</v>
      </c>
      <c r="R11" s="264" t="s">
        <v>387</v>
      </c>
      <c r="S11" s="264" t="s">
        <v>387</v>
      </c>
      <c r="T11" s="265">
        <v>1.32</v>
      </c>
    </row>
    <row r="12" spans="2:20">
      <c r="B12" s="262" t="s">
        <v>392</v>
      </c>
      <c r="C12" s="263">
        <v>1.1100000000000001</v>
      </c>
      <c r="D12" s="264" t="s">
        <v>387</v>
      </c>
      <c r="E12" s="263">
        <v>2.86</v>
      </c>
      <c r="F12" s="263">
        <v>5.25</v>
      </c>
      <c r="G12" s="263">
        <v>2.93</v>
      </c>
      <c r="H12" s="263">
        <v>0.89</v>
      </c>
      <c r="I12" s="264" t="s">
        <v>387</v>
      </c>
      <c r="J12" s="263">
        <v>1</v>
      </c>
      <c r="K12" s="264" t="s">
        <v>387</v>
      </c>
      <c r="L12" s="264" t="s">
        <v>387</v>
      </c>
      <c r="M12" s="264" t="s">
        <v>387</v>
      </c>
      <c r="N12" s="263">
        <v>3.76</v>
      </c>
      <c r="O12" s="264" t="s">
        <v>387</v>
      </c>
      <c r="P12" s="264" t="s">
        <v>387</v>
      </c>
      <c r="Q12" s="264" t="s">
        <v>387</v>
      </c>
      <c r="R12" s="264" t="s">
        <v>388</v>
      </c>
      <c r="S12" s="264" t="s">
        <v>388</v>
      </c>
      <c r="T12" s="265">
        <v>1.68</v>
      </c>
    </row>
    <row r="13" spans="2:20">
      <c r="B13" s="262" t="s">
        <v>393</v>
      </c>
      <c r="C13" s="263">
        <v>1.1100000000000001</v>
      </c>
      <c r="D13" s="264" t="s">
        <v>387</v>
      </c>
      <c r="E13" s="263">
        <v>1.71</v>
      </c>
      <c r="F13" s="264" t="s">
        <v>387</v>
      </c>
      <c r="G13" s="264" t="s">
        <v>387</v>
      </c>
      <c r="H13" s="263">
        <v>0.6</v>
      </c>
      <c r="I13" s="264" t="s">
        <v>387</v>
      </c>
      <c r="J13" s="264" t="s">
        <v>387</v>
      </c>
      <c r="K13" s="264" t="s">
        <v>387</v>
      </c>
      <c r="L13" s="264" t="s">
        <v>387</v>
      </c>
      <c r="M13" s="264" t="s">
        <v>387</v>
      </c>
      <c r="N13" s="264" t="s">
        <v>387</v>
      </c>
      <c r="O13" s="264" t="s">
        <v>387</v>
      </c>
      <c r="P13" s="264" t="s">
        <v>387</v>
      </c>
      <c r="Q13" s="264" t="s">
        <v>387</v>
      </c>
      <c r="R13" s="264" t="s">
        <v>387</v>
      </c>
      <c r="S13" s="264" t="s">
        <v>387</v>
      </c>
      <c r="T13" s="265">
        <v>0.88</v>
      </c>
    </row>
    <row r="14" spans="2:20">
      <c r="B14" s="262" t="s">
        <v>394</v>
      </c>
      <c r="C14" s="263">
        <v>2.4300000000000002</v>
      </c>
      <c r="D14" s="264" t="s">
        <v>387</v>
      </c>
      <c r="E14" s="263">
        <v>3.84</v>
      </c>
      <c r="F14" s="264" t="s">
        <v>387</v>
      </c>
      <c r="G14" s="264" t="s">
        <v>387</v>
      </c>
      <c r="H14" s="263">
        <v>4.33</v>
      </c>
      <c r="I14" s="264" t="s">
        <v>387</v>
      </c>
      <c r="J14" s="263">
        <v>5.52</v>
      </c>
      <c r="K14" s="264" t="s">
        <v>387</v>
      </c>
      <c r="L14" s="264" t="s">
        <v>387</v>
      </c>
      <c r="M14" s="264" t="s">
        <v>387</v>
      </c>
      <c r="N14" s="263">
        <v>6.51</v>
      </c>
      <c r="O14" s="264" t="s">
        <v>387</v>
      </c>
      <c r="P14" s="264" t="s">
        <v>387</v>
      </c>
      <c r="Q14" s="264" t="s">
        <v>387</v>
      </c>
      <c r="R14" s="264" t="s">
        <v>388</v>
      </c>
      <c r="S14" s="264" t="s">
        <v>388</v>
      </c>
      <c r="T14" s="265">
        <v>4.71</v>
      </c>
    </row>
    <row r="15" spans="2:20">
      <c r="B15" s="266" t="s">
        <v>395</v>
      </c>
      <c r="C15" s="263">
        <v>4.29</v>
      </c>
      <c r="D15" s="263">
        <v>9.94</v>
      </c>
      <c r="E15" s="263">
        <v>4.08</v>
      </c>
      <c r="F15" s="263">
        <v>5.86</v>
      </c>
      <c r="G15" s="263">
        <v>4.53</v>
      </c>
      <c r="H15" s="263">
        <v>3.48</v>
      </c>
      <c r="I15" s="263">
        <v>1.87</v>
      </c>
      <c r="J15" s="263">
        <v>3.89</v>
      </c>
      <c r="K15" s="264" t="s">
        <v>387</v>
      </c>
      <c r="L15" s="263">
        <v>3.69</v>
      </c>
      <c r="M15" s="264" t="s">
        <v>387</v>
      </c>
      <c r="N15" s="263">
        <v>4.78</v>
      </c>
      <c r="O15" s="264" t="s">
        <v>387</v>
      </c>
      <c r="P15" s="264" t="s">
        <v>387</v>
      </c>
      <c r="Q15" s="264" t="s">
        <v>387</v>
      </c>
      <c r="R15" s="264" t="s">
        <v>387</v>
      </c>
      <c r="S15" s="264" t="s">
        <v>387</v>
      </c>
      <c r="T15" s="265">
        <v>4.12</v>
      </c>
    </row>
    <row r="16" spans="2:20">
      <c r="B16" s="262" t="s">
        <v>389</v>
      </c>
      <c r="C16" s="263">
        <v>7.8</v>
      </c>
      <c r="D16" s="263">
        <v>51.11</v>
      </c>
      <c r="E16" s="263">
        <v>5.35</v>
      </c>
      <c r="F16" s="263">
        <v>7.84</v>
      </c>
      <c r="G16" s="263">
        <v>5.05</v>
      </c>
      <c r="H16" s="263">
        <v>4.38</v>
      </c>
      <c r="I16" s="264" t="s">
        <v>387</v>
      </c>
      <c r="J16" s="263">
        <v>4.84</v>
      </c>
      <c r="K16" s="264" t="s">
        <v>387</v>
      </c>
      <c r="L16" s="263">
        <v>7</v>
      </c>
      <c r="M16" s="264" t="s">
        <v>387</v>
      </c>
      <c r="N16" s="263">
        <v>5.83</v>
      </c>
      <c r="O16" s="264" t="s">
        <v>387</v>
      </c>
      <c r="P16" s="264" t="s">
        <v>387</v>
      </c>
      <c r="Q16" s="264" t="s">
        <v>387</v>
      </c>
      <c r="R16" s="264" t="s">
        <v>388</v>
      </c>
      <c r="S16" s="264" t="s">
        <v>388</v>
      </c>
      <c r="T16" s="265">
        <v>5.77</v>
      </c>
    </row>
    <row r="17" spans="2:20">
      <c r="B17" s="262" t="s">
        <v>390</v>
      </c>
      <c r="C17" s="263">
        <v>2.9</v>
      </c>
      <c r="D17" s="264" t="s">
        <v>387</v>
      </c>
      <c r="E17" s="263">
        <v>4.57</v>
      </c>
      <c r="F17" s="263">
        <v>3.95</v>
      </c>
      <c r="G17" s="263">
        <v>5.61</v>
      </c>
      <c r="H17" s="263">
        <v>3.8</v>
      </c>
      <c r="I17" s="263">
        <v>3.9</v>
      </c>
      <c r="J17" s="263">
        <v>7.24</v>
      </c>
      <c r="K17" s="264" t="s">
        <v>387</v>
      </c>
      <c r="L17" s="264" t="s">
        <v>387</v>
      </c>
      <c r="M17" s="264" t="s">
        <v>387</v>
      </c>
      <c r="N17" s="263">
        <v>3.6</v>
      </c>
      <c r="O17" s="264" t="s">
        <v>387</v>
      </c>
      <c r="P17" s="264" t="s">
        <v>387</v>
      </c>
      <c r="Q17" s="264" t="s">
        <v>387</v>
      </c>
      <c r="R17" s="264" t="s">
        <v>387</v>
      </c>
      <c r="S17" s="264" t="s">
        <v>387</v>
      </c>
      <c r="T17" s="265">
        <v>4.24</v>
      </c>
    </row>
    <row r="18" spans="2:20">
      <c r="B18" s="262" t="s">
        <v>391</v>
      </c>
      <c r="C18" s="263">
        <v>2.86</v>
      </c>
      <c r="D18" s="263">
        <v>6.9</v>
      </c>
      <c r="E18" s="263">
        <v>4.92</v>
      </c>
      <c r="F18" s="263">
        <v>4.55</v>
      </c>
      <c r="G18" s="263">
        <v>4.08</v>
      </c>
      <c r="H18" s="263">
        <v>3.83</v>
      </c>
      <c r="I18" s="263">
        <v>0.65</v>
      </c>
      <c r="J18" s="263">
        <v>2.2200000000000002</v>
      </c>
      <c r="K18" s="264" t="s">
        <v>387</v>
      </c>
      <c r="L18" s="263">
        <v>3</v>
      </c>
      <c r="M18" s="264" t="s">
        <v>387</v>
      </c>
      <c r="N18" s="263">
        <v>4.9800000000000004</v>
      </c>
      <c r="O18" s="264" t="s">
        <v>387</v>
      </c>
      <c r="P18" s="264" t="s">
        <v>387</v>
      </c>
      <c r="Q18" s="264" t="s">
        <v>387</v>
      </c>
      <c r="R18" s="264" t="s">
        <v>388</v>
      </c>
      <c r="S18" s="264" t="s">
        <v>388</v>
      </c>
      <c r="T18" s="265">
        <v>3.47</v>
      </c>
    </row>
    <row r="19" spans="2:20">
      <c r="B19" s="262" t="s">
        <v>392</v>
      </c>
      <c r="C19" s="263">
        <v>4.21</v>
      </c>
      <c r="D19" s="263">
        <v>10</v>
      </c>
      <c r="E19" s="263">
        <v>3.36</v>
      </c>
      <c r="F19" s="263">
        <v>5.38</v>
      </c>
      <c r="G19" s="263">
        <v>4.7300000000000004</v>
      </c>
      <c r="H19" s="263">
        <v>2.86</v>
      </c>
      <c r="I19" s="263">
        <v>1.1599999999999999</v>
      </c>
      <c r="J19" s="263">
        <v>2.54</v>
      </c>
      <c r="K19" s="264" t="s">
        <v>387</v>
      </c>
      <c r="L19" s="263">
        <v>3.11</v>
      </c>
      <c r="M19" s="264" t="s">
        <v>387</v>
      </c>
      <c r="N19" s="263">
        <v>4.3</v>
      </c>
      <c r="O19" s="264" t="s">
        <v>387</v>
      </c>
      <c r="P19" s="264" t="s">
        <v>387</v>
      </c>
      <c r="Q19" s="264" t="s">
        <v>387</v>
      </c>
      <c r="R19" s="264" t="s">
        <v>387</v>
      </c>
      <c r="S19" s="264" t="s">
        <v>387</v>
      </c>
      <c r="T19" s="265">
        <v>3.63</v>
      </c>
    </row>
    <row r="20" spans="2:20">
      <c r="B20" s="262" t="s">
        <v>393</v>
      </c>
      <c r="C20" s="263">
        <v>3.5</v>
      </c>
      <c r="D20" s="264" t="s">
        <v>387</v>
      </c>
      <c r="E20" s="263">
        <v>3.78</v>
      </c>
      <c r="F20" s="263">
        <v>5.7</v>
      </c>
      <c r="G20" s="263">
        <v>3.99</v>
      </c>
      <c r="H20" s="263">
        <v>1.86</v>
      </c>
      <c r="I20" s="264" t="s">
        <v>387</v>
      </c>
      <c r="J20" s="263">
        <v>6.3</v>
      </c>
      <c r="K20" s="264" t="s">
        <v>387</v>
      </c>
      <c r="L20" s="263">
        <v>9.5</v>
      </c>
      <c r="M20" s="264" t="s">
        <v>387</v>
      </c>
      <c r="N20" s="263">
        <v>4.92</v>
      </c>
      <c r="O20" s="264" t="s">
        <v>387</v>
      </c>
      <c r="P20" s="264" t="s">
        <v>387</v>
      </c>
      <c r="Q20" s="264" t="s">
        <v>387</v>
      </c>
      <c r="R20" s="264" t="s">
        <v>388</v>
      </c>
      <c r="S20" s="264" t="s">
        <v>388</v>
      </c>
      <c r="T20" s="265">
        <v>3.59</v>
      </c>
    </row>
    <row r="21" spans="2:20">
      <c r="B21" s="262" t="s">
        <v>394</v>
      </c>
      <c r="C21" s="263">
        <v>4.28</v>
      </c>
      <c r="D21" s="264" t="s">
        <v>387</v>
      </c>
      <c r="E21" s="263">
        <v>3.17</v>
      </c>
      <c r="F21" s="264" t="s">
        <v>387</v>
      </c>
      <c r="G21" s="263">
        <v>4.2</v>
      </c>
      <c r="H21" s="263">
        <v>3.14</v>
      </c>
      <c r="I21" s="264" t="s">
        <v>387</v>
      </c>
      <c r="J21" s="263">
        <v>2.74</v>
      </c>
      <c r="K21" s="264" t="s">
        <v>387</v>
      </c>
      <c r="L21" s="263">
        <v>6.5</v>
      </c>
      <c r="M21" s="264" t="s">
        <v>387</v>
      </c>
      <c r="N21" s="263">
        <v>5.38</v>
      </c>
      <c r="O21" s="264" t="s">
        <v>387</v>
      </c>
      <c r="P21" s="264" t="s">
        <v>387</v>
      </c>
      <c r="Q21" s="264" t="s">
        <v>387</v>
      </c>
      <c r="R21" s="264" t="s">
        <v>387</v>
      </c>
      <c r="S21" s="264" t="s">
        <v>387</v>
      </c>
      <c r="T21" s="265">
        <v>3.76</v>
      </c>
    </row>
    <row r="22" spans="2:20">
      <c r="B22" s="266" t="s">
        <v>396</v>
      </c>
      <c r="C22" s="263">
        <v>8.65</v>
      </c>
      <c r="D22" s="263">
        <v>10.029999999999999</v>
      </c>
      <c r="E22" s="263">
        <v>9.18</v>
      </c>
      <c r="F22" s="263">
        <v>6.67</v>
      </c>
      <c r="G22" s="263">
        <v>7.85</v>
      </c>
      <c r="H22" s="263">
        <v>7.9</v>
      </c>
      <c r="I22" s="263">
        <v>2.11</v>
      </c>
      <c r="J22" s="263">
        <v>6.31</v>
      </c>
      <c r="K22" s="263">
        <v>15.01</v>
      </c>
      <c r="L22" s="263">
        <v>10.14</v>
      </c>
      <c r="M22" s="264" t="s">
        <v>387</v>
      </c>
      <c r="N22" s="263">
        <v>6.68</v>
      </c>
      <c r="O22" s="264" t="s">
        <v>387</v>
      </c>
      <c r="P22" s="264" t="s">
        <v>387</v>
      </c>
      <c r="Q22" s="264" t="s">
        <v>387</v>
      </c>
      <c r="R22" s="264" t="s">
        <v>388</v>
      </c>
      <c r="S22" s="264" t="s">
        <v>388</v>
      </c>
      <c r="T22" s="265">
        <v>8.3699999999999992</v>
      </c>
    </row>
    <row r="23" spans="2:20">
      <c r="B23" s="262" t="s">
        <v>389</v>
      </c>
      <c r="C23" s="263">
        <v>8.85</v>
      </c>
      <c r="D23" s="263">
        <v>8.3800000000000008</v>
      </c>
      <c r="E23" s="263">
        <v>8.9499999999999993</v>
      </c>
      <c r="F23" s="263">
        <v>8.11</v>
      </c>
      <c r="G23" s="263">
        <v>7.09</v>
      </c>
      <c r="H23" s="263">
        <v>6.92</v>
      </c>
      <c r="I23" s="264" t="s">
        <v>387</v>
      </c>
      <c r="J23" s="263">
        <v>6.15</v>
      </c>
      <c r="K23" s="264" t="s">
        <v>387</v>
      </c>
      <c r="L23" s="263">
        <v>8</v>
      </c>
      <c r="M23" s="264" t="s">
        <v>387</v>
      </c>
      <c r="N23" s="263">
        <v>4.3</v>
      </c>
      <c r="O23" s="264" t="s">
        <v>387</v>
      </c>
      <c r="P23" s="264" t="s">
        <v>387</v>
      </c>
      <c r="Q23" s="264" t="s">
        <v>387</v>
      </c>
      <c r="R23" s="264" t="s">
        <v>387</v>
      </c>
      <c r="S23" s="264" t="s">
        <v>387</v>
      </c>
      <c r="T23" s="265">
        <v>7.95</v>
      </c>
    </row>
    <row r="24" spans="2:20">
      <c r="B24" s="262" t="s">
        <v>390</v>
      </c>
      <c r="C24" s="263">
        <v>9.5</v>
      </c>
      <c r="D24" s="263">
        <v>14</v>
      </c>
      <c r="E24" s="263">
        <v>4.4800000000000004</v>
      </c>
      <c r="F24" s="263">
        <v>7.36</v>
      </c>
      <c r="G24" s="263">
        <v>10.94</v>
      </c>
      <c r="H24" s="263">
        <v>3.12</v>
      </c>
      <c r="I24" s="264" t="s">
        <v>387</v>
      </c>
      <c r="J24" s="263">
        <v>4.17</v>
      </c>
      <c r="K24" s="264" t="s">
        <v>387</v>
      </c>
      <c r="L24" s="264" t="s">
        <v>387</v>
      </c>
      <c r="M24" s="264" t="s">
        <v>387</v>
      </c>
      <c r="N24" s="264" t="s">
        <v>387</v>
      </c>
      <c r="O24" s="264" t="s">
        <v>387</v>
      </c>
      <c r="P24" s="264" t="s">
        <v>387</v>
      </c>
      <c r="Q24" s="264" t="s">
        <v>387</v>
      </c>
      <c r="R24" s="264" t="s">
        <v>388</v>
      </c>
      <c r="S24" s="264" t="s">
        <v>388</v>
      </c>
      <c r="T24" s="265">
        <v>5.01</v>
      </c>
    </row>
    <row r="25" spans="2:20">
      <c r="B25" s="262" t="s">
        <v>391</v>
      </c>
      <c r="C25" s="263">
        <v>9.1999999999999993</v>
      </c>
      <c r="D25" s="263">
        <v>12.76</v>
      </c>
      <c r="E25" s="263">
        <v>9.1999999999999993</v>
      </c>
      <c r="F25" s="263">
        <v>8.69</v>
      </c>
      <c r="G25" s="263">
        <v>7.83</v>
      </c>
      <c r="H25" s="263">
        <v>7.78</v>
      </c>
      <c r="I25" s="263">
        <v>4.43</v>
      </c>
      <c r="J25" s="263">
        <v>6.9</v>
      </c>
      <c r="K25" s="263">
        <v>15.94</v>
      </c>
      <c r="L25" s="263">
        <v>13</v>
      </c>
      <c r="M25" s="264" t="s">
        <v>387</v>
      </c>
      <c r="N25" s="263">
        <v>8.9499999999999993</v>
      </c>
      <c r="O25" s="264" t="s">
        <v>387</v>
      </c>
      <c r="P25" s="264" t="s">
        <v>387</v>
      </c>
      <c r="Q25" s="264" t="s">
        <v>387</v>
      </c>
      <c r="R25" s="264" t="s">
        <v>387</v>
      </c>
      <c r="S25" s="264" t="s">
        <v>387</v>
      </c>
      <c r="T25" s="265">
        <v>8.75</v>
      </c>
    </row>
    <row r="26" spans="2:20">
      <c r="B26" s="262" t="s">
        <v>392</v>
      </c>
      <c r="C26" s="263">
        <v>8.98</v>
      </c>
      <c r="D26" s="263">
        <v>10.39</v>
      </c>
      <c r="E26" s="263">
        <v>8.33</v>
      </c>
      <c r="F26" s="263">
        <v>7.04</v>
      </c>
      <c r="G26" s="263">
        <v>8.9</v>
      </c>
      <c r="H26" s="263">
        <v>7.11</v>
      </c>
      <c r="I26" s="264" t="s">
        <v>387</v>
      </c>
      <c r="J26" s="263">
        <v>4.32</v>
      </c>
      <c r="K26" s="263">
        <v>20.04</v>
      </c>
      <c r="L26" s="264" t="s">
        <v>387</v>
      </c>
      <c r="M26" s="264" t="s">
        <v>387</v>
      </c>
      <c r="N26" s="263">
        <v>8.57</v>
      </c>
      <c r="O26" s="264" t="s">
        <v>387</v>
      </c>
      <c r="P26" s="264" t="s">
        <v>387</v>
      </c>
      <c r="Q26" s="264" t="s">
        <v>387</v>
      </c>
      <c r="R26" s="264" t="s">
        <v>388</v>
      </c>
      <c r="S26" s="264" t="s">
        <v>388</v>
      </c>
      <c r="T26" s="265">
        <v>8.08</v>
      </c>
    </row>
    <row r="27" spans="2:20">
      <c r="B27" s="262" t="s">
        <v>393</v>
      </c>
      <c r="C27" s="263">
        <v>9.5399999999999991</v>
      </c>
      <c r="D27" s="264" t="s">
        <v>387</v>
      </c>
      <c r="E27" s="263">
        <v>8.0399999999999991</v>
      </c>
      <c r="F27" s="263">
        <v>10.78</v>
      </c>
      <c r="G27" s="263">
        <v>8.4600000000000009</v>
      </c>
      <c r="H27" s="263">
        <v>9.08</v>
      </c>
      <c r="I27" s="263">
        <v>1.58</v>
      </c>
      <c r="J27" s="263">
        <v>15.61</v>
      </c>
      <c r="K27" s="263">
        <v>15.51</v>
      </c>
      <c r="L27" s="264" t="s">
        <v>387</v>
      </c>
      <c r="M27" s="264" t="s">
        <v>387</v>
      </c>
      <c r="N27" s="264" t="s">
        <v>387</v>
      </c>
      <c r="O27" s="264" t="s">
        <v>387</v>
      </c>
      <c r="P27" s="264" t="s">
        <v>387</v>
      </c>
      <c r="Q27" s="264" t="s">
        <v>387</v>
      </c>
      <c r="R27" s="264" t="s">
        <v>387</v>
      </c>
      <c r="S27" s="264" t="s">
        <v>387</v>
      </c>
      <c r="T27" s="265">
        <v>8.39</v>
      </c>
    </row>
    <row r="28" spans="2:20">
      <c r="B28" s="262" t="s">
        <v>394</v>
      </c>
      <c r="C28" s="263">
        <v>7.96</v>
      </c>
      <c r="D28" s="263">
        <v>10</v>
      </c>
      <c r="E28" s="263">
        <v>11.35</v>
      </c>
      <c r="F28" s="263">
        <v>4.1500000000000004</v>
      </c>
      <c r="G28" s="263">
        <v>8.23</v>
      </c>
      <c r="H28" s="263">
        <v>8.76</v>
      </c>
      <c r="I28" s="263">
        <v>3.85</v>
      </c>
      <c r="J28" s="263">
        <v>14.38</v>
      </c>
      <c r="K28" s="263">
        <v>14.67</v>
      </c>
      <c r="L28" s="264" t="s">
        <v>387</v>
      </c>
      <c r="M28" s="264" t="s">
        <v>387</v>
      </c>
      <c r="N28" s="263">
        <v>6</v>
      </c>
      <c r="O28" s="264" t="s">
        <v>387</v>
      </c>
      <c r="P28" s="264" t="s">
        <v>387</v>
      </c>
      <c r="Q28" s="264" t="s">
        <v>387</v>
      </c>
      <c r="R28" s="264" t="s">
        <v>388</v>
      </c>
      <c r="S28" s="264" t="s">
        <v>388</v>
      </c>
      <c r="T28" s="265">
        <v>9.0299999999999994</v>
      </c>
    </row>
    <row r="29" spans="2:20">
      <c r="B29" s="266" t="s">
        <v>397</v>
      </c>
      <c r="C29" s="263">
        <v>12.3</v>
      </c>
      <c r="D29" s="264" t="s">
        <v>387</v>
      </c>
      <c r="E29" s="263">
        <v>16.600000000000001</v>
      </c>
      <c r="F29" s="263">
        <v>21.78</v>
      </c>
      <c r="G29" s="263">
        <v>10.71</v>
      </c>
      <c r="H29" s="263">
        <v>13.26</v>
      </c>
      <c r="I29" s="264" t="s">
        <v>387</v>
      </c>
      <c r="J29" s="263">
        <v>16.89</v>
      </c>
      <c r="K29" s="263">
        <v>21.99</v>
      </c>
      <c r="L29" s="264" t="s">
        <v>387</v>
      </c>
      <c r="M29" s="264" t="s">
        <v>387</v>
      </c>
      <c r="N29" s="264" t="s">
        <v>387</v>
      </c>
      <c r="O29" s="264" t="s">
        <v>387</v>
      </c>
      <c r="P29" s="264" t="s">
        <v>387</v>
      </c>
      <c r="Q29" s="264" t="s">
        <v>387</v>
      </c>
      <c r="R29" s="264" t="s">
        <v>387</v>
      </c>
      <c r="S29" s="264" t="s">
        <v>387</v>
      </c>
      <c r="T29" s="265">
        <v>18.239999999999998</v>
      </c>
    </row>
    <row r="30" spans="2:20">
      <c r="B30" s="262" t="s">
        <v>389</v>
      </c>
      <c r="C30" s="263">
        <v>11.74</v>
      </c>
      <c r="D30" s="264" t="s">
        <v>387</v>
      </c>
      <c r="E30" s="263">
        <v>16.62</v>
      </c>
      <c r="F30" s="263">
        <v>16</v>
      </c>
      <c r="G30" s="263">
        <v>12</v>
      </c>
      <c r="H30" s="263">
        <v>11.26</v>
      </c>
      <c r="I30" s="264" t="s">
        <v>387</v>
      </c>
      <c r="J30" s="263">
        <v>7.32</v>
      </c>
      <c r="K30" s="264" t="s">
        <v>387</v>
      </c>
      <c r="L30" s="264" t="s">
        <v>387</v>
      </c>
      <c r="M30" s="264" t="s">
        <v>387</v>
      </c>
      <c r="N30" s="264" t="s">
        <v>387</v>
      </c>
      <c r="O30" s="264" t="s">
        <v>387</v>
      </c>
      <c r="P30" s="264" t="s">
        <v>387</v>
      </c>
      <c r="Q30" s="264" t="s">
        <v>387</v>
      </c>
      <c r="R30" s="264" t="s">
        <v>388</v>
      </c>
      <c r="S30" s="264" t="s">
        <v>388</v>
      </c>
      <c r="T30" s="265">
        <v>14.27</v>
      </c>
    </row>
    <row r="31" spans="2:20">
      <c r="B31" s="262" t="s">
        <v>390</v>
      </c>
      <c r="C31" s="263">
        <v>12.79</v>
      </c>
      <c r="D31" s="264" t="s">
        <v>387</v>
      </c>
      <c r="E31" s="263">
        <v>12.79</v>
      </c>
      <c r="F31" s="263">
        <v>36.549999999999997</v>
      </c>
      <c r="G31" s="264" t="s">
        <v>387</v>
      </c>
      <c r="H31" s="264" t="s">
        <v>387</v>
      </c>
      <c r="I31" s="264" t="s">
        <v>387</v>
      </c>
      <c r="J31" s="264" t="s">
        <v>387</v>
      </c>
      <c r="K31" s="263">
        <v>36.18</v>
      </c>
      <c r="L31" s="264" t="s">
        <v>387</v>
      </c>
      <c r="M31" s="264" t="s">
        <v>387</v>
      </c>
      <c r="N31" s="264" t="s">
        <v>387</v>
      </c>
      <c r="O31" s="264" t="s">
        <v>387</v>
      </c>
      <c r="P31" s="264" t="s">
        <v>387</v>
      </c>
      <c r="Q31" s="264" t="s">
        <v>387</v>
      </c>
      <c r="R31" s="264" t="s">
        <v>387</v>
      </c>
      <c r="S31" s="264" t="s">
        <v>387</v>
      </c>
      <c r="T31" s="265">
        <v>13.13</v>
      </c>
    </row>
    <row r="32" spans="2:20">
      <c r="B32" s="262" t="s">
        <v>391</v>
      </c>
      <c r="C32" s="263">
        <v>12.29</v>
      </c>
      <c r="D32" s="264" t="s">
        <v>387</v>
      </c>
      <c r="E32" s="263">
        <v>9.52</v>
      </c>
      <c r="F32" s="263">
        <v>21.1</v>
      </c>
      <c r="G32" s="263">
        <v>9.92</v>
      </c>
      <c r="H32" s="263">
        <v>8.09</v>
      </c>
      <c r="I32" s="264" t="s">
        <v>387</v>
      </c>
      <c r="J32" s="264" t="s">
        <v>387</v>
      </c>
      <c r="K32" s="263">
        <v>34.94</v>
      </c>
      <c r="L32" s="264" t="s">
        <v>387</v>
      </c>
      <c r="M32" s="264" t="s">
        <v>387</v>
      </c>
      <c r="N32" s="264" t="s">
        <v>387</v>
      </c>
      <c r="O32" s="264" t="s">
        <v>387</v>
      </c>
      <c r="P32" s="264" t="s">
        <v>387</v>
      </c>
      <c r="Q32" s="264" t="s">
        <v>387</v>
      </c>
      <c r="R32" s="264" t="s">
        <v>388</v>
      </c>
      <c r="S32" s="264" t="s">
        <v>388</v>
      </c>
      <c r="T32" s="265">
        <v>14.24</v>
      </c>
    </row>
    <row r="33" spans="2:20">
      <c r="B33" s="262" t="s">
        <v>392</v>
      </c>
      <c r="C33" s="263">
        <v>12.88</v>
      </c>
      <c r="D33" s="264" t="s">
        <v>387</v>
      </c>
      <c r="E33" s="263">
        <v>6.7</v>
      </c>
      <c r="F33" s="263">
        <v>22.06</v>
      </c>
      <c r="G33" s="263">
        <v>12</v>
      </c>
      <c r="H33" s="263">
        <v>10.5</v>
      </c>
      <c r="I33" s="264" t="s">
        <v>387</v>
      </c>
      <c r="J33" s="263">
        <v>18.8</v>
      </c>
      <c r="K33" s="263">
        <v>30.39</v>
      </c>
      <c r="L33" s="264" t="s">
        <v>387</v>
      </c>
      <c r="M33" s="264" t="s">
        <v>387</v>
      </c>
      <c r="N33" s="264" t="s">
        <v>387</v>
      </c>
      <c r="O33" s="264" t="s">
        <v>387</v>
      </c>
      <c r="P33" s="264" t="s">
        <v>387</v>
      </c>
      <c r="Q33" s="264" t="s">
        <v>387</v>
      </c>
      <c r="R33" s="264" t="s">
        <v>387</v>
      </c>
      <c r="S33" s="264" t="s">
        <v>387</v>
      </c>
      <c r="T33" s="265">
        <v>16.760000000000002</v>
      </c>
    </row>
    <row r="34" spans="2:20">
      <c r="B34" s="262" t="s">
        <v>393</v>
      </c>
      <c r="C34" s="263">
        <v>14.33</v>
      </c>
      <c r="D34" s="264" t="s">
        <v>387</v>
      </c>
      <c r="E34" s="263">
        <v>6.58</v>
      </c>
      <c r="F34" s="263">
        <v>25.82</v>
      </c>
      <c r="G34" s="263">
        <v>12.52</v>
      </c>
      <c r="H34" s="263">
        <v>13.28</v>
      </c>
      <c r="I34" s="264" t="s">
        <v>387</v>
      </c>
      <c r="J34" s="263">
        <v>28.29</v>
      </c>
      <c r="K34" s="263">
        <v>26.59</v>
      </c>
      <c r="L34" s="264" t="s">
        <v>387</v>
      </c>
      <c r="M34" s="264" t="s">
        <v>387</v>
      </c>
      <c r="N34" s="264" t="s">
        <v>387</v>
      </c>
      <c r="O34" s="264" t="s">
        <v>387</v>
      </c>
      <c r="P34" s="264" t="s">
        <v>387</v>
      </c>
      <c r="Q34" s="264" t="s">
        <v>387</v>
      </c>
      <c r="R34" s="264" t="s">
        <v>388</v>
      </c>
      <c r="S34" s="264" t="s">
        <v>388</v>
      </c>
      <c r="T34" s="265">
        <v>23.99</v>
      </c>
    </row>
    <row r="35" spans="2:20">
      <c r="B35" s="262" t="s">
        <v>394</v>
      </c>
      <c r="C35" s="263">
        <v>11.73</v>
      </c>
      <c r="D35" s="264" t="s">
        <v>387</v>
      </c>
      <c r="E35" s="263">
        <v>17.18</v>
      </c>
      <c r="F35" s="263">
        <v>21.65</v>
      </c>
      <c r="G35" s="263">
        <v>11.2</v>
      </c>
      <c r="H35" s="263">
        <v>13.4</v>
      </c>
      <c r="I35" s="264" t="s">
        <v>387</v>
      </c>
      <c r="J35" s="263">
        <v>16.329999999999998</v>
      </c>
      <c r="K35" s="263">
        <v>20.53</v>
      </c>
      <c r="L35" s="264" t="s">
        <v>387</v>
      </c>
      <c r="M35" s="264" t="s">
        <v>387</v>
      </c>
      <c r="N35" s="264" t="s">
        <v>387</v>
      </c>
      <c r="O35" s="264" t="s">
        <v>387</v>
      </c>
      <c r="P35" s="264" t="s">
        <v>387</v>
      </c>
      <c r="Q35" s="264" t="s">
        <v>387</v>
      </c>
      <c r="R35" s="264" t="s">
        <v>387</v>
      </c>
      <c r="S35" s="264" t="s">
        <v>387</v>
      </c>
      <c r="T35" s="265">
        <v>17.690000000000001</v>
      </c>
    </row>
    <row r="36" spans="2:20">
      <c r="B36" s="266" t="s">
        <v>398</v>
      </c>
      <c r="C36" s="263">
        <v>25.87</v>
      </c>
      <c r="D36" s="264" t="s">
        <v>387</v>
      </c>
      <c r="E36" s="263">
        <v>22.19</v>
      </c>
      <c r="F36" s="263">
        <v>30.47</v>
      </c>
      <c r="G36" s="263">
        <v>14.47</v>
      </c>
      <c r="H36" s="263">
        <v>12.96</v>
      </c>
      <c r="I36" s="264" t="s">
        <v>387</v>
      </c>
      <c r="J36" s="263">
        <v>25.65</v>
      </c>
      <c r="K36" s="263">
        <v>35.22</v>
      </c>
      <c r="L36" s="264" t="s">
        <v>387</v>
      </c>
      <c r="M36" s="264" t="s">
        <v>387</v>
      </c>
      <c r="N36" s="264" t="s">
        <v>387</v>
      </c>
      <c r="O36" s="264" t="s">
        <v>387</v>
      </c>
      <c r="P36" s="264" t="s">
        <v>387</v>
      </c>
      <c r="Q36" s="264" t="s">
        <v>387</v>
      </c>
      <c r="R36" s="264" t="s">
        <v>388</v>
      </c>
      <c r="S36" s="264" t="s">
        <v>388</v>
      </c>
      <c r="T36" s="265">
        <v>33.21</v>
      </c>
    </row>
    <row r="37" spans="2:20">
      <c r="B37" s="262" t="s">
        <v>399</v>
      </c>
      <c r="C37" s="263">
        <v>35.369999999999997</v>
      </c>
      <c r="D37" s="264" t="s">
        <v>387</v>
      </c>
      <c r="E37" s="263">
        <v>26.39</v>
      </c>
      <c r="F37" s="263">
        <v>40.9</v>
      </c>
      <c r="G37" s="264" t="s">
        <v>387</v>
      </c>
      <c r="H37" s="264" t="s">
        <v>387</v>
      </c>
      <c r="I37" s="264" t="s">
        <v>387</v>
      </c>
      <c r="J37" s="264" t="s">
        <v>387</v>
      </c>
      <c r="K37" s="264" t="s">
        <v>387</v>
      </c>
      <c r="L37" s="264" t="s">
        <v>387</v>
      </c>
      <c r="M37" s="264" t="s">
        <v>387</v>
      </c>
      <c r="N37" s="264" t="s">
        <v>387</v>
      </c>
      <c r="O37" s="264" t="s">
        <v>387</v>
      </c>
      <c r="P37" s="264" t="s">
        <v>387</v>
      </c>
      <c r="Q37" s="264" t="s">
        <v>387</v>
      </c>
      <c r="R37" s="264" t="s">
        <v>387</v>
      </c>
      <c r="S37" s="264" t="s">
        <v>387</v>
      </c>
      <c r="T37" s="265">
        <v>30.38</v>
      </c>
    </row>
    <row r="38" spans="2:20">
      <c r="B38" s="262" t="s">
        <v>389</v>
      </c>
      <c r="C38" s="264" t="s">
        <v>387</v>
      </c>
      <c r="D38" s="264" t="s">
        <v>387</v>
      </c>
      <c r="E38" s="263">
        <v>12.27</v>
      </c>
      <c r="F38" s="264" t="s">
        <v>387</v>
      </c>
      <c r="G38" s="263">
        <v>11.5</v>
      </c>
      <c r="H38" s="263">
        <v>6.96</v>
      </c>
      <c r="I38" s="264" t="s">
        <v>387</v>
      </c>
      <c r="J38" s="263">
        <v>8</v>
      </c>
      <c r="K38" s="264" t="s">
        <v>387</v>
      </c>
      <c r="L38" s="264" t="s">
        <v>387</v>
      </c>
      <c r="M38" s="264" t="s">
        <v>387</v>
      </c>
      <c r="N38" s="264" t="s">
        <v>387</v>
      </c>
      <c r="O38" s="264" t="s">
        <v>387</v>
      </c>
      <c r="P38" s="264" t="s">
        <v>387</v>
      </c>
      <c r="Q38" s="264" t="s">
        <v>387</v>
      </c>
      <c r="R38" s="264" t="s">
        <v>388</v>
      </c>
      <c r="S38" s="264" t="s">
        <v>388</v>
      </c>
      <c r="T38" s="265">
        <v>11.87</v>
      </c>
    </row>
    <row r="39" spans="2:20">
      <c r="B39" s="262" t="s">
        <v>400</v>
      </c>
      <c r="C39" s="264" t="s">
        <v>387</v>
      </c>
      <c r="D39" s="264" t="s">
        <v>387</v>
      </c>
      <c r="E39" s="264" t="s">
        <v>387</v>
      </c>
      <c r="F39" s="264" t="s">
        <v>387</v>
      </c>
      <c r="G39" s="263">
        <v>15.3</v>
      </c>
      <c r="H39" s="264" t="s">
        <v>387</v>
      </c>
      <c r="I39" s="264" t="s">
        <v>387</v>
      </c>
      <c r="J39" s="264" t="s">
        <v>387</v>
      </c>
      <c r="K39" s="264" t="s">
        <v>387</v>
      </c>
      <c r="L39" s="264" t="s">
        <v>387</v>
      </c>
      <c r="M39" s="264" t="s">
        <v>387</v>
      </c>
      <c r="N39" s="264" t="s">
        <v>387</v>
      </c>
      <c r="O39" s="264" t="s">
        <v>387</v>
      </c>
      <c r="P39" s="264" t="s">
        <v>387</v>
      </c>
      <c r="Q39" s="264" t="s">
        <v>387</v>
      </c>
      <c r="R39" s="264" t="s">
        <v>387</v>
      </c>
      <c r="S39" s="264" t="s">
        <v>387</v>
      </c>
      <c r="T39" s="265">
        <v>15.3</v>
      </c>
    </row>
    <row r="40" spans="2:20">
      <c r="B40" s="262" t="s">
        <v>401</v>
      </c>
      <c r="C40" s="263">
        <v>21.95</v>
      </c>
      <c r="D40" s="264" t="s">
        <v>387</v>
      </c>
      <c r="E40" s="264" t="s">
        <v>387</v>
      </c>
      <c r="F40" s="263">
        <v>38.25</v>
      </c>
      <c r="G40" s="264" t="s">
        <v>387</v>
      </c>
      <c r="H40" s="263">
        <v>7.55</v>
      </c>
      <c r="I40" s="264" t="s">
        <v>387</v>
      </c>
      <c r="J40" s="264" t="s">
        <v>387</v>
      </c>
      <c r="K40" s="263">
        <v>35.68</v>
      </c>
      <c r="L40" s="264" t="s">
        <v>387</v>
      </c>
      <c r="M40" s="264" t="s">
        <v>387</v>
      </c>
      <c r="N40" s="264" t="s">
        <v>387</v>
      </c>
      <c r="O40" s="264" t="s">
        <v>387</v>
      </c>
      <c r="P40" s="264" t="s">
        <v>387</v>
      </c>
      <c r="Q40" s="264" t="s">
        <v>387</v>
      </c>
      <c r="R40" s="264" t="s">
        <v>388</v>
      </c>
      <c r="S40" s="264" t="s">
        <v>388</v>
      </c>
      <c r="T40" s="265">
        <v>15.94</v>
      </c>
    </row>
    <row r="41" spans="2:20">
      <c r="B41" s="262" t="s">
        <v>402</v>
      </c>
      <c r="C41" s="263">
        <v>16.23</v>
      </c>
      <c r="D41" s="264" t="s">
        <v>387</v>
      </c>
      <c r="E41" s="263">
        <v>32.26</v>
      </c>
      <c r="F41" s="263">
        <v>29.44</v>
      </c>
      <c r="G41" s="264" t="s">
        <v>387</v>
      </c>
      <c r="H41" s="264" t="s">
        <v>387</v>
      </c>
      <c r="I41" s="264" t="s">
        <v>387</v>
      </c>
      <c r="J41" s="263">
        <v>30</v>
      </c>
      <c r="K41" s="263">
        <v>57.6</v>
      </c>
      <c r="L41" s="264" t="s">
        <v>387</v>
      </c>
      <c r="M41" s="264" t="s">
        <v>387</v>
      </c>
      <c r="N41" s="264" t="s">
        <v>387</v>
      </c>
      <c r="O41" s="264" t="s">
        <v>387</v>
      </c>
      <c r="P41" s="264" t="s">
        <v>387</v>
      </c>
      <c r="Q41" s="264" t="s">
        <v>387</v>
      </c>
      <c r="R41" s="264" t="s">
        <v>387</v>
      </c>
      <c r="S41" s="264" t="s">
        <v>387</v>
      </c>
      <c r="T41" s="265">
        <v>54.24</v>
      </c>
    </row>
    <row r="42" spans="2:20">
      <c r="B42" s="262" t="s">
        <v>403</v>
      </c>
      <c r="C42" s="263">
        <v>11.91</v>
      </c>
      <c r="D42" s="264" t="s">
        <v>387</v>
      </c>
      <c r="E42" s="263">
        <v>33.44</v>
      </c>
      <c r="F42" s="263">
        <v>34.729999999999997</v>
      </c>
      <c r="G42" s="264" t="s">
        <v>387</v>
      </c>
      <c r="H42" s="264" t="s">
        <v>387</v>
      </c>
      <c r="I42" s="264" t="s">
        <v>387</v>
      </c>
      <c r="J42" s="263">
        <v>28.06</v>
      </c>
      <c r="K42" s="263">
        <v>53.23</v>
      </c>
      <c r="L42" s="264" t="s">
        <v>387</v>
      </c>
      <c r="M42" s="264" t="s">
        <v>387</v>
      </c>
      <c r="N42" s="264" t="s">
        <v>387</v>
      </c>
      <c r="O42" s="264" t="s">
        <v>387</v>
      </c>
      <c r="P42" s="264" t="s">
        <v>387</v>
      </c>
      <c r="Q42" s="264" t="s">
        <v>387</v>
      </c>
      <c r="R42" s="264" t="s">
        <v>388</v>
      </c>
      <c r="S42" s="264" t="s">
        <v>388</v>
      </c>
      <c r="T42" s="265">
        <v>52.02</v>
      </c>
    </row>
    <row r="43" spans="2:20">
      <c r="B43" s="262" t="s">
        <v>404</v>
      </c>
      <c r="C43" s="263">
        <v>17.3</v>
      </c>
      <c r="D43" s="264" t="s">
        <v>387</v>
      </c>
      <c r="E43" s="263">
        <v>33.49</v>
      </c>
      <c r="F43" s="263">
        <v>31.98</v>
      </c>
      <c r="G43" s="264" t="s">
        <v>387</v>
      </c>
      <c r="H43" s="263">
        <v>21.88</v>
      </c>
      <c r="I43" s="264" t="s">
        <v>387</v>
      </c>
      <c r="J43" s="263">
        <v>28.23</v>
      </c>
      <c r="K43" s="263">
        <v>44.64</v>
      </c>
      <c r="L43" s="264" t="s">
        <v>387</v>
      </c>
      <c r="M43" s="264" t="s">
        <v>387</v>
      </c>
      <c r="N43" s="264" t="s">
        <v>387</v>
      </c>
      <c r="O43" s="264" t="s">
        <v>387</v>
      </c>
      <c r="P43" s="264" t="s">
        <v>387</v>
      </c>
      <c r="Q43" s="264" t="s">
        <v>387</v>
      </c>
      <c r="R43" s="264" t="s">
        <v>387</v>
      </c>
      <c r="S43" s="264" t="s">
        <v>387</v>
      </c>
      <c r="T43" s="265">
        <v>44.29</v>
      </c>
    </row>
    <row r="44" spans="2:20">
      <c r="B44" s="262" t="s">
        <v>405</v>
      </c>
      <c r="C44" s="263">
        <v>11.73</v>
      </c>
      <c r="D44" s="264" t="s">
        <v>387</v>
      </c>
      <c r="E44" s="263">
        <v>21.12</v>
      </c>
      <c r="F44" s="263">
        <v>30.36</v>
      </c>
      <c r="G44" s="264" t="s">
        <v>387</v>
      </c>
      <c r="H44" s="263">
        <v>13.08</v>
      </c>
      <c r="I44" s="264" t="s">
        <v>387</v>
      </c>
      <c r="J44" s="263">
        <v>17.38</v>
      </c>
      <c r="K44" s="263">
        <v>28.18</v>
      </c>
      <c r="L44" s="264" t="s">
        <v>387</v>
      </c>
      <c r="M44" s="264" t="s">
        <v>387</v>
      </c>
      <c r="N44" s="264" t="s">
        <v>387</v>
      </c>
      <c r="O44" s="264" t="s">
        <v>387</v>
      </c>
      <c r="P44" s="264" t="s">
        <v>387</v>
      </c>
      <c r="Q44" s="264" t="s">
        <v>387</v>
      </c>
      <c r="R44" s="264" t="s">
        <v>388</v>
      </c>
      <c r="S44" s="264" t="s">
        <v>388</v>
      </c>
      <c r="T44" s="265">
        <v>26.91</v>
      </c>
    </row>
    <row r="45" spans="2:20">
      <c r="B45" s="266" t="s">
        <v>406</v>
      </c>
      <c r="C45" s="263">
        <v>35.06</v>
      </c>
      <c r="D45" s="263">
        <v>15.49</v>
      </c>
      <c r="E45" s="263">
        <v>29.25</v>
      </c>
      <c r="F45" s="263">
        <v>40.19</v>
      </c>
      <c r="G45" s="263">
        <v>16.37</v>
      </c>
      <c r="H45" s="263">
        <v>30.29</v>
      </c>
      <c r="I45" s="264" t="s">
        <v>387</v>
      </c>
      <c r="J45" s="263">
        <v>46.52</v>
      </c>
      <c r="K45" s="263">
        <v>43.69</v>
      </c>
      <c r="L45" s="263">
        <v>30.77</v>
      </c>
      <c r="M45" s="263">
        <v>56.58</v>
      </c>
      <c r="N45" s="264" t="s">
        <v>387</v>
      </c>
      <c r="O45" s="263">
        <v>58.98</v>
      </c>
      <c r="P45" s="263">
        <v>70.09</v>
      </c>
      <c r="Q45" s="264" t="s">
        <v>387</v>
      </c>
      <c r="R45" s="264" t="s">
        <v>387</v>
      </c>
      <c r="S45" s="264" t="s">
        <v>387</v>
      </c>
      <c r="T45" s="265">
        <v>39.020000000000003</v>
      </c>
    </row>
    <row r="46" spans="2:20">
      <c r="B46" s="262" t="s">
        <v>399</v>
      </c>
      <c r="C46" s="263">
        <v>50.88</v>
      </c>
      <c r="D46" s="263">
        <v>30.36</v>
      </c>
      <c r="E46" s="263">
        <v>36.44</v>
      </c>
      <c r="F46" s="263">
        <v>37.479999999999997</v>
      </c>
      <c r="G46" s="263">
        <v>30</v>
      </c>
      <c r="H46" s="263">
        <v>37.74</v>
      </c>
      <c r="I46" s="264" t="s">
        <v>387</v>
      </c>
      <c r="J46" s="263">
        <v>53</v>
      </c>
      <c r="K46" s="264" t="s">
        <v>387</v>
      </c>
      <c r="L46" s="263">
        <v>31.57</v>
      </c>
      <c r="M46" s="263">
        <v>62.12</v>
      </c>
      <c r="N46" s="264" t="s">
        <v>387</v>
      </c>
      <c r="O46" s="263">
        <v>62.77</v>
      </c>
      <c r="P46" s="263">
        <v>152.47999999999999</v>
      </c>
      <c r="Q46" s="264" t="s">
        <v>387</v>
      </c>
      <c r="R46" s="264" t="s">
        <v>388</v>
      </c>
      <c r="S46" s="264" t="s">
        <v>388</v>
      </c>
      <c r="T46" s="265">
        <v>48.3</v>
      </c>
    </row>
    <row r="47" spans="2:20">
      <c r="B47" s="262" t="s">
        <v>400</v>
      </c>
      <c r="C47" s="263">
        <v>16.29</v>
      </c>
      <c r="D47" s="264" t="s">
        <v>387</v>
      </c>
      <c r="E47" s="264" t="s">
        <v>387</v>
      </c>
      <c r="F47" s="264" t="s">
        <v>387</v>
      </c>
      <c r="G47" s="264" t="s">
        <v>387</v>
      </c>
      <c r="H47" s="264" t="s">
        <v>387</v>
      </c>
      <c r="I47" s="264" t="s">
        <v>387</v>
      </c>
      <c r="J47" s="264" t="s">
        <v>387</v>
      </c>
      <c r="K47" s="264" t="s">
        <v>387</v>
      </c>
      <c r="L47" s="264" t="s">
        <v>387</v>
      </c>
      <c r="M47" s="264" t="s">
        <v>387</v>
      </c>
      <c r="N47" s="264" t="s">
        <v>387</v>
      </c>
      <c r="O47" s="264" t="s">
        <v>387</v>
      </c>
      <c r="P47" s="264" t="s">
        <v>387</v>
      </c>
      <c r="Q47" s="264" t="s">
        <v>387</v>
      </c>
      <c r="R47" s="264" t="s">
        <v>387</v>
      </c>
      <c r="S47" s="264" t="s">
        <v>387</v>
      </c>
      <c r="T47" s="265">
        <v>16.29</v>
      </c>
    </row>
    <row r="48" spans="2:20">
      <c r="B48" s="262" t="s">
        <v>407</v>
      </c>
      <c r="C48" s="263">
        <v>12.11</v>
      </c>
      <c r="D48" s="264" t="s">
        <v>387</v>
      </c>
      <c r="E48" s="263">
        <v>10.25</v>
      </c>
      <c r="F48" s="264" t="s">
        <v>387</v>
      </c>
      <c r="G48" s="263">
        <v>10.98</v>
      </c>
      <c r="H48" s="263">
        <v>9.07</v>
      </c>
      <c r="I48" s="264" t="s">
        <v>387</v>
      </c>
      <c r="J48" s="263">
        <v>9.9700000000000006</v>
      </c>
      <c r="K48" s="264" t="s">
        <v>387</v>
      </c>
      <c r="L48" s="264" t="s">
        <v>387</v>
      </c>
      <c r="M48" s="263">
        <v>36.61</v>
      </c>
      <c r="N48" s="264" t="s">
        <v>387</v>
      </c>
      <c r="O48" s="264" t="s">
        <v>387</v>
      </c>
      <c r="P48" s="264" t="s">
        <v>387</v>
      </c>
      <c r="Q48" s="264" t="s">
        <v>387</v>
      </c>
      <c r="R48" s="264" t="s">
        <v>388</v>
      </c>
      <c r="S48" s="264" t="s">
        <v>388</v>
      </c>
      <c r="T48" s="265">
        <v>10.69</v>
      </c>
    </row>
    <row r="49" spans="2:20">
      <c r="B49" s="262" t="s">
        <v>408</v>
      </c>
      <c r="C49" s="263">
        <v>13.83</v>
      </c>
      <c r="D49" s="263">
        <v>26.31</v>
      </c>
      <c r="E49" s="263">
        <v>79.739999999999995</v>
      </c>
      <c r="F49" s="263">
        <v>25.5</v>
      </c>
      <c r="G49" s="263">
        <v>11.89</v>
      </c>
      <c r="H49" s="263">
        <v>20.260000000000002</v>
      </c>
      <c r="I49" s="264" t="s">
        <v>387</v>
      </c>
      <c r="J49" s="263">
        <v>19.260000000000002</v>
      </c>
      <c r="K49" s="263">
        <v>61.82</v>
      </c>
      <c r="L49" s="263">
        <v>9</v>
      </c>
      <c r="M49" s="263">
        <v>30</v>
      </c>
      <c r="N49" s="264" t="s">
        <v>387</v>
      </c>
      <c r="O49" s="263">
        <v>37.299999999999997</v>
      </c>
      <c r="P49" s="263">
        <v>78.099999999999994</v>
      </c>
      <c r="Q49" s="264" t="s">
        <v>387</v>
      </c>
      <c r="R49" s="264" t="s">
        <v>387</v>
      </c>
      <c r="S49" s="264" t="s">
        <v>387</v>
      </c>
      <c r="T49" s="265">
        <v>61.24</v>
      </c>
    </row>
    <row r="50" spans="2:20">
      <c r="B50" s="262" t="s">
        <v>409</v>
      </c>
      <c r="C50" s="263">
        <v>15.08</v>
      </c>
      <c r="D50" s="263">
        <v>15.41</v>
      </c>
      <c r="E50" s="263">
        <v>13.15</v>
      </c>
      <c r="F50" s="263">
        <v>44.34</v>
      </c>
      <c r="G50" s="263">
        <v>12.81</v>
      </c>
      <c r="H50" s="263">
        <v>17.22</v>
      </c>
      <c r="I50" s="264" t="s">
        <v>387</v>
      </c>
      <c r="J50" s="263">
        <v>16.079999999999998</v>
      </c>
      <c r="K50" s="263">
        <v>35.020000000000003</v>
      </c>
      <c r="L50" s="263">
        <v>15.5</v>
      </c>
      <c r="M50" s="263">
        <v>23.69</v>
      </c>
      <c r="N50" s="264" t="s">
        <v>387</v>
      </c>
      <c r="O50" s="263">
        <v>20.83</v>
      </c>
      <c r="P50" s="263">
        <v>64.41</v>
      </c>
      <c r="Q50" s="264" t="s">
        <v>387</v>
      </c>
      <c r="R50" s="264" t="s">
        <v>388</v>
      </c>
      <c r="S50" s="264" t="s">
        <v>388</v>
      </c>
      <c r="T50" s="265">
        <v>19.11</v>
      </c>
    </row>
    <row r="51" spans="2:20">
      <c r="B51" s="262" t="s">
        <v>410</v>
      </c>
      <c r="C51" s="264" t="s">
        <v>387</v>
      </c>
      <c r="D51" s="263">
        <v>52.58</v>
      </c>
      <c r="E51" s="264" t="s">
        <v>387</v>
      </c>
      <c r="F51" s="264" t="s">
        <v>387</v>
      </c>
      <c r="G51" s="264" t="s">
        <v>387</v>
      </c>
      <c r="H51" s="264" t="s">
        <v>387</v>
      </c>
      <c r="I51" s="264" t="s">
        <v>387</v>
      </c>
      <c r="J51" s="264" t="s">
        <v>387</v>
      </c>
      <c r="K51" s="264" t="s">
        <v>387</v>
      </c>
      <c r="L51" s="264" t="s">
        <v>387</v>
      </c>
      <c r="M51" s="264" t="s">
        <v>387</v>
      </c>
      <c r="N51" s="264" t="s">
        <v>387</v>
      </c>
      <c r="O51" s="264" t="s">
        <v>387</v>
      </c>
      <c r="P51" s="264" t="s">
        <v>387</v>
      </c>
      <c r="Q51" s="264" t="s">
        <v>387</v>
      </c>
      <c r="R51" s="264" t="s">
        <v>387</v>
      </c>
      <c r="S51" s="264" t="s">
        <v>387</v>
      </c>
      <c r="T51" s="265">
        <v>52.58</v>
      </c>
    </row>
    <row r="52" spans="2:20">
      <c r="B52" s="266" t="s">
        <v>411</v>
      </c>
      <c r="C52" s="263">
        <v>5.62</v>
      </c>
      <c r="D52" s="263">
        <v>8.1300000000000008</v>
      </c>
      <c r="E52" s="263">
        <v>5.81</v>
      </c>
      <c r="F52" s="263">
        <v>9.01</v>
      </c>
      <c r="G52" s="263">
        <v>7.32</v>
      </c>
      <c r="H52" s="263">
        <v>5.94</v>
      </c>
      <c r="I52" s="264" t="s">
        <v>387</v>
      </c>
      <c r="J52" s="263">
        <v>6.03</v>
      </c>
      <c r="K52" s="263">
        <v>14.27</v>
      </c>
      <c r="L52" s="264" t="s">
        <v>387</v>
      </c>
      <c r="M52" s="264" t="s">
        <v>387</v>
      </c>
      <c r="N52" s="264" t="s">
        <v>387</v>
      </c>
      <c r="O52" s="264" t="s">
        <v>387</v>
      </c>
      <c r="P52" s="264" t="s">
        <v>387</v>
      </c>
      <c r="Q52" s="264" t="s">
        <v>387</v>
      </c>
      <c r="R52" s="264" t="s">
        <v>388</v>
      </c>
      <c r="S52" s="264" t="s">
        <v>388</v>
      </c>
      <c r="T52" s="265">
        <v>5.96</v>
      </c>
    </row>
    <row r="53" spans="2:20">
      <c r="B53" s="267" t="s">
        <v>412</v>
      </c>
      <c r="C53" s="268">
        <v>5.62</v>
      </c>
      <c r="D53" s="268">
        <v>8.1300000000000008</v>
      </c>
      <c r="E53" s="268">
        <v>5.81</v>
      </c>
      <c r="F53" s="268">
        <v>9.01</v>
      </c>
      <c r="G53" s="268">
        <v>7.32</v>
      </c>
      <c r="H53" s="268">
        <v>5.94</v>
      </c>
      <c r="I53" s="269" t="s">
        <v>387</v>
      </c>
      <c r="J53" s="268">
        <v>6.03</v>
      </c>
      <c r="K53" s="268">
        <v>14.27</v>
      </c>
      <c r="L53" s="269" t="s">
        <v>387</v>
      </c>
      <c r="M53" s="269" t="s">
        <v>387</v>
      </c>
      <c r="N53" s="269" t="s">
        <v>387</v>
      </c>
      <c r="O53" s="269" t="s">
        <v>387</v>
      </c>
      <c r="P53" s="269" t="s">
        <v>387</v>
      </c>
      <c r="Q53" s="269" t="s">
        <v>387</v>
      </c>
      <c r="R53" s="269" t="s">
        <v>387</v>
      </c>
      <c r="S53" s="269" t="s">
        <v>387</v>
      </c>
      <c r="T53" s="270">
        <v>5.96</v>
      </c>
    </row>
    <row r="56" spans="2:20">
      <c r="B56" s="307" t="s">
        <v>413</v>
      </c>
      <c r="C56" s="307"/>
      <c r="D56" s="307"/>
      <c r="E56" s="307"/>
      <c r="F56" s="307"/>
      <c r="G56" s="307"/>
      <c r="H56" s="307"/>
      <c r="I56" s="307"/>
      <c r="J56" s="307"/>
      <c r="K56" s="307"/>
      <c r="L56" s="307"/>
    </row>
    <row r="57" spans="2:20">
      <c r="B57" s="307"/>
      <c r="C57" s="307"/>
      <c r="D57" s="307"/>
      <c r="E57" s="307"/>
      <c r="F57" s="307"/>
      <c r="G57" s="307"/>
      <c r="H57" s="307"/>
      <c r="I57" s="307"/>
      <c r="J57" s="307"/>
      <c r="K57" s="307"/>
      <c r="L57" s="307"/>
    </row>
    <row r="58" spans="2:20">
      <c r="B58" s="307"/>
      <c r="C58" s="307"/>
      <c r="D58" s="307"/>
      <c r="E58" s="307"/>
      <c r="F58" s="307"/>
      <c r="G58" s="307"/>
      <c r="H58" s="307"/>
      <c r="I58" s="307"/>
      <c r="J58" s="307"/>
      <c r="K58" s="307"/>
      <c r="L58" s="307"/>
    </row>
    <row r="60" spans="2:20">
      <c r="B60" s="307"/>
      <c r="C60" s="307"/>
      <c r="D60" s="307"/>
      <c r="E60" s="307"/>
      <c r="F60" s="307"/>
      <c r="G60" s="307"/>
      <c r="H60" s="307"/>
      <c r="I60" s="307"/>
      <c r="J60" s="307"/>
      <c r="K60" s="307"/>
      <c r="L60" s="307"/>
    </row>
    <row r="61" spans="2:20">
      <c r="B61" s="307"/>
      <c r="C61" s="307"/>
      <c r="D61" s="307"/>
      <c r="E61" s="307"/>
      <c r="F61" s="307"/>
      <c r="G61" s="307"/>
      <c r="H61" s="307"/>
      <c r="I61" s="307"/>
      <c r="J61" s="307"/>
      <c r="K61" s="307"/>
      <c r="L61" s="307"/>
    </row>
    <row r="62" spans="2:20">
      <c r="B62" s="307"/>
      <c r="C62" s="307"/>
      <c r="D62" s="307"/>
      <c r="E62" s="307"/>
      <c r="F62" s="307"/>
      <c r="G62" s="307"/>
      <c r="H62" s="307"/>
      <c r="I62" s="307"/>
      <c r="J62" s="307"/>
      <c r="K62" s="307"/>
      <c r="L62" s="307"/>
    </row>
  </sheetData>
  <mergeCells count="4">
    <mergeCell ref="B2:L2"/>
    <mergeCell ref="B4:L4"/>
    <mergeCell ref="B56:L58"/>
    <mergeCell ref="B60:L62"/>
  </mergeCells>
  <pageMargins left="0.75" right="0.75" top="0.75" bottom="0.5" header="0.5" footer="0.7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098B5-C995-4D81-BD32-7C6F1977B721}">
  <sheetPr>
    <tabColor theme="9" tint="-0.499984740745262"/>
  </sheetPr>
  <dimension ref="A1:P8"/>
  <sheetViews>
    <sheetView topLeftCell="E1" workbookViewId="0">
      <selection activeCell="G8" sqref="G8"/>
    </sheetView>
  </sheetViews>
  <sheetFormatPr baseColWidth="10" defaultRowHeight="15"/>
  <cols>
    <col min="1" max="1" width="11.42578125" style="9"/>
    <col min="2" max="4" width="4.7109375" style="1" customWidth="1"/>
    <col min="5" max="5" width="48" style="6" bestFit="1" customWidth="1"/>
    <col min="6" max="6" width="12.85546875" style="6" customWidth="1"/>
    <col min="7" max="7" width="14.42578125" style="6" customWidth="1"/>
    <col min="8" max="8" width="16.85546875" style="1" customWidth="1"/>
    <col min="9" max="9" width="30.85546875" style="1" customWidth="1"/>
    <col min="10" max="10" width="23.42578125" style="1" customWidth="1"/>
    <col min="11" max="11" width="18.42578125" style="1" customWidth="1"/>
    <col min="12" max="12" width="16.140625" style="1" customWidth="1"/>
    <col min="13" max="13" width="11.42578125" style="1"/>
    <col min="14" max="14" width="15.42578125" style="1" bestFit="1" customWidth="1"/>
    <col min="15" max="16" width="14.42578125" style="1" bestFit="1" customWidth="1"/>
    <col min="17" max="16384" width="11.42578125" style="1"/>
  </cols>
  <sheetData>
    <row r="1" spans="1:16" ht="11.25" customHeight="1">
      <c r="A1" s="35" t="s">
        <v>15</v>
      </c>
    </row>
    <row r="2" spans="1:16" ht="9" customHeight="1"/>
    <row r="3" spans="1:16" ht="8.25" customHeight="1"/>
    <row r="4" spans="1:16">
      <c r="E4" s="7" t="s">
        <v>14</v>
      </c>
      <c r="F4" s="7"/>
      <c r="G4" s="7"/>
    </row>
    <row r="5" spans="1:16">
      <c r="E5" s="7"/>
      <c r="F5" s="7"/>
      <c r="G5" s="7"/>
    </row>
    <row r="7" spans="1:16">
      <c r="D7" s="4"/>
      <c r="E7" s="32" t="s">
        <v>157</v>
      </c>
      <c r="F7" s="32" t="s">
        <v>11</v>
      </c>
      <c r="G7" s="32" t="s">
        <v>178</v>
      </c>
      <c r="H7" s="10" t="s">
        <v>175</v>
      </c>
      <c r="I7" s="32" t="s">
        <v>183</v>
      </c>
      <c r="J7" s="10" t="s">
        <v>184</v>
      </c>
      <c r="K7" s="10" t="s">
        <v>177</v>
      </c>
      <c r="L7" s="10" t="s">
        <v>176</v>
      </c>
      <c r="N7" s="10"/>
      <c r="O7" s="10"/>
      <c r="P7" s="10"/>
    </row>
    <row r="8" spans="1:16">
      <c r="D8" s="2"/>
      <c r="E8" s="33" t="s">
        <v>180</v>
      </c>
      <c r="F8" s="146">
        <v>2020</v>
      </c>
      <c r="G8" s="146" t="s">
        <v>179</v>
      </c>
      <c r="H8" s="147">
        <v>1.0049999999999999</v>
      </c>
      <c r="I8" s="148">
        <v>0.42</v>
      </c>
      <c r="J8" s="148">
        <f>I8/(1+I8)</f>
        <v>0.29577464788732394</v>
      </c>
      <c r="K8" s="148">
        <v>0.23</v>
      </c>
      <c r="L8" s="149">
        <f>$H8/(1+$I8*(1-$K8))</f>
        <v>0.75940758651957074</v>
      </c>
    </row>
  </sheetData>
  <hyperlinks>
    <hyperlink ref="A1" location="Indice!A1" display="Índice" xr:uid="{0C5C70B5-273E-4DCA-92F3-8452E974233C}"/>
  </hyperlinks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54780-1E3F-415E-AE66-A8DE281A782C}">
  <sheetPr>
    <tabColor rgb="FF92D050"/>
  </sheetPr>
  <dimension ref="A1:P34"/>
  <sheetViews>
    <sheetView topLeftCell="C1" zoomScale="85" zoomScaleNormal="85" workbookViewId="0">
      <selection activeCell="J40" sqref="J40"/>
    </sheetView>
  </sheetViews>
  <sheetFormatPr baseColWidth="10" defaultRowHeight="15"/>
  <cols>
    <col min="1" max="1" width="11.42578125" style="9"/>
    <col min="2" max="4" width="4.7109375" style="1" customWidth="1"/>
    <col min="5" max="5" width="34" style="6" customWidth="1"/>
    <col min="6" max="6" width="12.85546875" style="6" customWidth="1"/>
    <col min="7" max="7" width="39.85546875" style="6" customWidth="1"/>
    <col min="8" max="8" width="19.42578125" style="1" customWidth="1"/>
    <col min="9" max="9" width="25.140625" style="1" customWidth="1"/>
    <col min="10" max="10" width="26.140625" style="1" customWidth="1"/>
    <col min="11" max="11" width="18.42578125" style="1" customWidth="1"/>
    <col min="12" max="12" width="17.85546875" style="1" customWidth="1"/>
    <col min="13" max="13" width="11.42578125" style="1"/>
    <col min="14" max="14" width="15.42578125" style="1" bestFit="1" customWidth="1"/>
    <col min="15" max="16" width="14.42578125" style="1" bestFit="1" customWidth="1"/>
    <col min="17" max="16384" width="11.42578125" style="1"/>
  </cols>
  <sheetData>
    <row r="1" spans="1:16" ht="11.25" customHeight="1">
      <c r="A1" s="35" t="s">
        <v>15</v>
      </c>
    </row>
    <row r="2" spans="1:16" ht="9" customHeight="1"/>
    <row r="3" spans="1:16" ht="8.25" customHeight="1"/>
    <row r="4" spans="1:16">
      <c r="E4" s="7" t="s">
        <v>14</v>
      </c>
      <c r="F4" s="7"/>
      <c r="G4" s="7"/>
    </row>
    <row r="5" spans="1:16">
      <c r="E5" s="7"/>
      <c r="F5" s="7"/>
      <c r="G5" s="7"/>
    </row>
    <row r="7" spans="1:16">
      <c r="D7" s="4"/>
      <c r="E7" s="154" t="s">
        <v>157</v>
      </c>
      <c r="F7" s="154" t="s">
        <v>11</v>
      </c>
      <c r="G7" s="154" t="s">
        <v>178</v>
      </c>
      <c r="H7" s="154" t="s">
        <v>175</v>
      </c>
      <c r="I7" s="154" t="s">
        <v>183</v>
      </c>
      <c r="J7" s="154" t="s">
        <v>203</v>
      </c>
      <c r="K7" s="154" t="s">
        <v>177</v>
      </c>
      <c r="L7" s="154" t="s">
        <v>176</v>
      </c>
      <c r="N7" s="10"/>
      <c r="O7" s="10"/>
      <c r="P7" s="10"/>
    </row>
    <row r="8" spans="1:16" hidden="1">
      <c r="D8" s="2"/>
      <c r="E8" s="33" t="s">
        <v>188</v>
      </c>
      <c r="F8" s="146">
        <v>2019</v>
      </c>
      <c r="G8" s="146" t="s">
        <v>185</v>
      </c>
      <c r="H8" s="2" t="s">
        <v>192</v>
      </c>
      <c r="I8" s="2" t="s">
        <v>192</v>
      </c>
      <c r="J8" s="2" t="s">
        <v>192</v>
      </c>
      <c r="K8" s="2" t="s">
        <v>192</v>
      </c>
      <c r="L8" s="149">
        <v>0.81</v>
      </c>
    </row>
    <row r="9" spans="1:16" hidden="1">
      <c r="D9" s="2"/>
      <c r="E9" s="33" t="s">
        <v>180</v>
      </c>
      <c r="F9" s="146">
        <v>2019</v>
      </c>
      <c r="G9" s="146" t="s">
        <v>185</v>
      </c>
      <c r="H9" s="2" t="s">
        <v>192</v>
      </c>
      <c r="I9" s="2" t="s">
        <v>192</v>
      </c>
      <c r="J9" s="2" t="s">
        <v>192</v>
      </c>
      <c r="K9" s="2" t="s">
        <v>192</v>
      </c>
      <c r="L9" s="149">
        <v>0.54</v>
      </c>
    </row>
    <row r="10" spans="1:16" hidden="1">
      <c r="E10" s="33" t="s">
        <v>186</v>
      </c>
      <c r="F10" s="146">
        <v>2019</v>
      </c>
      <c r="G10" s="146" t="s">
        <v>185</v>
      </c>
      <c r="H10" s="2" t="s">
        <v>192</v>
      </c>
      <c r="I10" s="2" t="s">
        <v>192</v>
      </c>
      <c r="J10" s="2" t="s">
        <v>192</v>
      </c>
      <c r="K10" s="2" t="s">
        <v>192</v>
      </c>
      <c r="L10" s="149">
        <v>0.48</v>
      </c>
    </row>
    <row r="11" spans="1:16" hidden="1">
      <c r="E11" s="33" t="s">
        <v>181</v>
      </c>
      <c r="F11" s="146">
        <v>2019</v>
      </c>
      <c r="G11" s="146" t="s">
        <v>185</v>
      </c>
      <c r="H11" s="2" t="s">
        <v>192</v>
      </c>
      <c r="I11" s="2" t="s">
        <v>192</v>
      </c>
      <c r="J11" s="2" t="s">
        <v>192</v>
      </c>
      <c r="K11" s="2" t="s">
        <v>192</v>
      </c>
      <c r="L11" s="149">
        <v>0.47</v>
      </c>
    </row>
    <row r="12" spans="1:16" hidden="1">
      <c r="D12" s="3"/>
      <c r="E12" s="33" t="s">
        <v>187</v>
      </c>
      <c r="F12" s="146">
        <v>2019</v>
      </c>
      <c r="G12" s="146" t="s">
        <v>185</v>
      </c>
      <c r="H12" s="2" t="s">
        <v>192</v>
      </c>
      <c r="I12" s="2" t="s">
        <v>192</v>
      </c>
      <c r="J12" s="2" t="s">
        <v>192</v>
      </c>
      <c r="K12" s="2" t="s">
        <v>192</v>
      </c>
      <c r="L12" s="149">
        <v>0.45</v>
      </c>
    </row>
    <row r="13" spans="1:16" hidden="1">
      <c r="E13" s="33" t="s">
        <v>182</v>
      </c>
      <c r="F13" s="146">
        <v>2019</v>
      </c>
      <c r="G13" s="146" t="s">
        <v>185</v>
      </c>
      <c r="H13" s="2" t="s">
        <v>192</v>
      </c>
      <c r="I13" s="2" t="s">
        <v>192</v>
      </c>
      <c r="J13" s="2" t="s">
        <v>192</v>
      </c>
      <c r="K13" s="2" t="s">
        <v>192</v>
      </c>
      <c r="L13" s="149">
        <v>0.44</v>
      </c>
    </row>
    <row r="14" spans="1:16" hidden="1">
      <c r="E14" s="33" t="s">
        <v>190</v>
      </c>
      <c r="F14" s="146">
        <v>2019</v>
      </c>
      <c r="G14" s="146" t="s">
        <v>185</v>
      </c>
      <c r="H14" s="2" t="s">
        <v>192</v>
      </c>
      <c r="I14" s="2" t="s">
        <v>192</v>
      </c>
      <c r="J14" s="2" t="s">
        <v>192</v>
      </c>
      <c r="K14" s="2" t="s">
        <v>192</v>
      </c>
      <c r="L14" s="149">
        <v>0.37</v>
      </c>
    </row>
    <row r="15" spans="1:16" hidden="1">
      <c r="E15" s="33" t="s">
        <v>191</v>
      </c>
      <c r="F15" s="146">
        <v>2019</v>
      </c>
      <c r="G15" s="146" t="s">
        <v>185</v>
      </c>
      <c r="H15" s="2" t="s">
        <v>192</v>
      </c>
      <c r="I15" s="2" t="s">
        <v>192</v>
      </c>
      <c r="J15" s="2" t="s">
        <v>192</v>
      </c>
      <c r="K15" s="2" t="s">
        <v>192</v>
      </c>
      <c r="L15" s="149">
        <v>0.24</v>
      </c>
    </row>
    <row r="16" spans="1:16" hidden="1">
      <c r="E16" s="33" t="s">
        <v>189</v>
      </c>
      <c r="F16" s="146">
        <v>2019</v>
      </c>
      <c r="G16" s="146" t="s">
        <v>185</v>
      </c>
      <c r="H16" s="2" t="s">
        <v>192</v>
      </c>
      <c r="I16" s="2" t="s">
        <v>192</v>
      </c>
      <c r="J16" s="2" t="s">
        <v>192</v>
      </c>
      <c r="K16" s="2" t="s">
        <v>192</v>
      </c>
      <c r="L16" s="149">
        <v>0.33</v>
      </c>
    </row>
    <row r="17" spans="5:12">
      <c r="E17" s="33" t="s">
        <v>180</v>
      </c>
      <c r="F17" s="146">
        <v>2020</v>
      </c>
      <c r="G17" s="146" t="s">
        <v>179</v>
      </c>
      <c r="H17" s="147">
        <v>0.61</v>
      </c>
      <c r="I17" s="274">
        <v>0.42</v>
      </c>
      <c r="J17" s="148">
        <f>I17/(1+I17)</f>
        <v>0.29577464788732394</v>
      </c>
      <c r="K17" s="148">
        <v>0.23</v>
      </c>
      <c r="L17" s="149">
        <f>$H17/(1+$I17*(1-$K17))</f>
        <v>0.46093395798700321</v>
      </c>
    </row>
    <row r="18" spans="5:12">
      <c r="E18" s="33" t="s">
        <v>182</v>
      </c>
      <c r="F18" s="146">
        <v>2020</v>
      </c>
      <c r="G18" s="146" t="s">
        <v>179</v>
      </c>
      <c r="H18" s="147">
        <v>0.47</v>
      </c>
      <c r="I18" s="274">
        <v>0.17</v>
      </c>
      <c r="J18" s="148">
        <f>I18/(1+I18)</f>
        <v>0.14529914529914531</v>
      </c>
      <c r="K18" s="148">
        <v>0.22</v>
      </c>
      <c r="L18" s="149">
        <f>$H18/(1+$I18*(1-$K18))</f>
        <v>0.41497439519689205</v>
      </c>
    </row>
    <row r="19" spans="5:12">
      <c r="E19" s="33" t="s">
        <v>187</v>
      </c>
      <c r="F19" s="146">
        <v>2020</v>
      </c>
      <c r="G19" s="146" t="s">
        <v>179</v>
      </c>
      <c r="H19" s="147">
        <v>0.63</v>
      </c>
      <c r="I19" s="274">
        <v>0.56999999999999995</v>
      </c>
      <c r="J19" s="148">
        <f>I19/(1+I19)</f>
        <v>0.36305732484076436</v>
      </c>
      <c r="K19" s="148">
        <v>0.28999999999999998</v>
      </c>
      <c r="L19" s="149">
        <f>$H19/(1+$I19*(1-$K19))</f>
        <v>0.44849434042856123</v>
      </c>
    </row>
    <row r="20" spans="5:12">
      <c r="E20" s="33" t="s">
        <v>186</v>
      </c>
      <c r="F20" s="146">
        <v>2020</v>
      </c>
      <c r="G20" s="146" t="s">
        <v>179</v>
      </c>
      <c r="H20" s="147">
        <v>0.69</v>
      </c>
      <c r="I20" s="274">
        <v>0.69</v>
      </c>
      <c r="J20" s="148">
        <f>I20/(1+I20)</f>
        <v>0.40828402366863903</v>
      </c>
      <c r="K20" s="148">
        <v>0.21</v>
      </c>
      <c r="L20" s="149">
        <f>$H20/(1+$I20*(1-$K20))</f>
        <v>0.44657303734386117</v>
      </c>
    </row>
    <row r="21" spans="5:12">
      <c r="E21" s="33" t="s">
        <v>181</v>
      </c>
      <c r="F21" s="146">
        <v>2020</v>
      </c>
      <c r="G21" s="146" t="s">
        <v>179</v>
      </c>
      <c r="H21" s="147">
        <v>0.56999999999999995</v>
      </c>
      <c r="I21" s="274">
        <v>0.28000000000000003</v>
      </c>
      <c r="J21" s="148">
        <f>I21/(1+I21)</f>
        <v>0.21875000000000003</v>
      </c>
      <c r="K21" s="148">
        <v>0.33</v>
      </c>
      <c r="L21" s="149">
        <f>$H21/(1+$I21*(1-$K21))</f>
        <v>0.47995958235095987</v>
      </c>
    </row>
    <row r="22" spans="5:12" hidden="1">
      <c r="E22" s="33" t="s">
        <v>182</v>
      </c>
      <c r="F22" s="146">
        <v>2014</v>
      </c>
      <c r="G22" s="146" t="s">
        <v>196</v>
      </c>
      <c r="H22" s="152" t="s">
        <v>192</v>
      </c>
      <c r="I22" s="3" t="s">
        <v>192</v>
      </c>
      <c r="J22" s="3" t="s">
        <v>192</v>
      </c>
      <c r="K22" s="3" t="s">
        <v>192</v>
      </c>
      <c r="L22" s="2">
        <v>0.17</v>
      </c>
    </row>
    <row r="23" spans="5:12" hidden="1">
      <c r="E23" s="33" t="s">
        <v>187</v>
      </c>
      <c r="F23" s="146">
        <v>2014</v>
      </c>
      <c r="G23" s="146" t="s">
        <v>196</v>
      </c>
      <c r="H23" s="152" t="s">
        <v>192</v>
      </c>
      <c r="I23" s="3" t="s">
        <v>192</v>
      </c>
      <c r="J23" s="3" t="s">
        <v>192</v>
      </c>
      <c r="K23" s="3" t="s">
        <v>192</v>
      </c>
      <c r="L23" s="2">
        <v>0.46</v>
      </c>
    </row>
    <row r="24" spans="5:12" hidden="1">
      <c r="E24" s="33" t="s">
        <v>191</v>
      </c>
      <c r="F24" s="146">
        <v>2014</v>
      </c>
      <c r="G24" s="146" t="s">
        <v>196</v>
      </c>
      <c r="H24" s="152" t="s">
        <v>192</v>
      </c>
      <c r="I24" s="3" t="s">
        <v>192</v>
      </c>
      <c r="J24" s="3" t="s">
        <v>192</v>
      </c>
      <c r="K24" s="3" t="s">
        <v>192</v>
      </c>
      <c r="L24" s="2">
        <v>0.63</v>
      </c>
    </row>
    <row r="25" spans="5:12" hidden="1">
      <c r="E25" s="33" t="s">
        <v>186</v>
      </c>
      <c r="F25" s="146">
        <v>2014</v>
      </c>
      <c r="G25" s="146" t="s">
        <v>196</v>
      </c>
      <c r="H25" s="3" t="s">
        <v>192</v>
      </c>
      <c r="I25" s="3" t="s">
        <v>192</v>
      </c>
      <c r="J25" s="3" t="s">
        <v>192</v>
      </c>
      <c r="K25" s="3" t="s">
        <v>192</v>
      </c>
      <c r="L25" s="153">
        <v>1</v>
      </c>
    </row>
    <row r="26" spans="5:12" hidden="1">
      <c r="E26" s="33" t="s">
        <v>199</v>
      </c>
      <c r="F26" s="146">
        <v>2014</v>
      </c>
      <c r="G26" s="146" t="s">
        <v>196</v>
      </c>
      <c r="H26" s="152" t="s">
        <v>192</v>
      </c>
      <c r="I26" s="3" t="s">
        <v>192</v>
      </c>
      <c r="J26" s="3" t="s">
        <v>192</v>
      </c>
      <c r="K26" s="3" t="s">
        <v>192</v>
      </c>
      <c r="L26" s="2">
        <v>0.65</v>
      </c>
    </row>
    <row r="27" spans="5:12" hidden="1">
      <c r="E27" s="33" t="s">
        <v>198</v>
      </c>
      <c r="F27" s="146">
        <v>2014</v>
      </c>
      <c r="G27" s="146" t="s">
        <v>196</v>
      </c>
      <c r="H27" s="152" t="s">
        <v>192</v>
      </c>
      <c r="I27" s="3" t="s">
        <v>192</v>
      </c>
      <c r="J27" s="3" t="s">
        <v>192</v>
      </c>
      <c r="K27" s="3" t="s">
        <v>192</v>
      </c>
      <c r="L27" s="2">
        <v>0.57999999999999996</v>
      </c>
    </row>
    <row r="28" spans="5:12" hidden="1">
      <c r="E28" s="33" t="s">
        <v>197</v>
      </c>
      <c r="F28" s="146">
        <v>2014</v>
      </c>
      <c r="G28" s="146" t="s">
        <v>196</v>
      </c>
      <c r="H28" s="152" t="s">
        <v>192</v>
      </c>
      <c r="I28" s="3" t="s">
        <v>192</v>
      </c>
      <c r="J28" s="3" t="s">
        <v>192</v>
      </c>
      <c r="K28" s="3" t="s">
        <v>192</v>
      </c>
      <c r="L28" s="2">
        <v>0.55000000000000004</v>
      </c>
    </row>
    <row r="29" spans="5:12" hidden="1">
      <c r="E29" s="33" t="s">
        <v>180</v>
      </c>
      <c r="F29" s="146">
        <v>2021</v>
      </c>
      <c r="G29" s="146" t="s">
        <v>193</v>
      </c>
      <c r="H29" s="151">
        <v>1.0049999999999999</v>
      </c>
      <c r="I29" s="274">
        <v>0.42</v>
      </c>
      <c r="J29" s="148">
        <f>I29/(1+I29)</f>
        <v>0.29577464788732394</v>
      </c>
      <c r="K29" s="148">
        <v>0.23</v>
      </c>
      <c r="L29" s="149">
        <f>$H29/(1+$I29*(1-$K29))</f>
        <v>0.75940758651957074</v>
      </c>
    </row>
    <row r="30" spans="5:12" hidden="1">
      <c r="E30" s="33" t="s">
        <v>194</v>
      </c>
      <c r="F30" s="146">
        <v>2021</v>
      </c>
      <c r="G30" s="146" t="s">
        <v>193</v>
      </c>
      <c r="H30" s="151">
        <v>1.3939999999999999</v>
      </c>
      <c r="I30" s="2" t="s">
        <v>192</v>
      </c>
      <c r="J30" s="2" t="s">
        <v>192</v>
      </c>
      <c r="K30" s="2" t="s">
        <v>192</v>
      </c>
      <c r="L30" s="2" t="s">
        <v>192</v>
      </c>
    </row>
    <row r="31" spans="5:12" hidden="1">
      <c r="E31" s="33" t="s">
        <v>186</v>
      </c>
      <c r="F31" s="146">
        <v>2021</v>
      </c>
      <c r="G31" s="146" t="s">
        <v>193</v>
      </c>
      <c r="H31" s="151">
        <v>1.147</v>
      </c>
      <c r="I31" s="2" t="s">
        <v>192</v>
      </c>
      <c r="J31" s="2" t="s">
        <v>192</v>
      </c>
      <c r="K31" s="2" t="s">
        <v>192</v>
      </c>
      <c r="L31" s="2" t="s">
        <v>192</v>
      </c>
    </row>
    <row r="32" spans="5:12" hidden="1">
      <c r="E32" s="33" t="s">
        <v>181</v>
      </c>
      <c r="F32" s="146">
        <v>2021</v>
      </c>
      <c r="G32" s="146" t="s">
        <v>193</v>
      </c>
      <c r="H32" s="150">
        <v>1.3169999999999999</v>
      </c>
      <c r="I32" s="2" t="s">
        <v>192</v>
      </c>
      <c r="J32" s="2" t="s">
        <v>192</v>
      </c>
      <c r="K32" s="2" t="s">
        <v>192</v>
      </c>
      <c r="L32" s="2" t="s">
        <v>192</v>
      </c>
    </row>
    <row r="33" spans="5:12" hidden="1">
      <c r="E33" s="33" t="s">
        <v>190</v>
      </c>
      <c r="F33" s="146">
        <v>2021</v>
      </c>
      <c r="G33" s="146" t="s">
        <v>193</v>
      </c>
      <c r="H33" s="151">
        <v>0.94</v>
      </c>
      <c r="I33" s="2" t="s">
        <v>192</v>
      </c>
      <c r="J33" s="2" t="s">
        <v>192</v>
      </c>
      <c r="K33" s="2" t="s">
        <v>192</v>
      </c>
      <c r="L33" s="2" t="s">
        <v>192</v>
      </c>
    </row>
    <row r="34" spans="5:12" hidden="1">
      <c r="E34" s="33" t="s">
        <v>195</v>
      </c>
      <c r="F34" s="146">
        <v>2021</v>
      </c>
      <c r="G34" s="146" t="s">
        <v>193</v>
      </c>
      <c r="H34" s="151">
        <v>1.2050000000000001</v>
      </c>
      <c r="I34" s="2" t="s">
        <v>192</v>
      </c>
      <c r="J34" s="2" t="s">
        <v>192</v>
      </c>
      <c r="K34" s="2" t="s">
        <v>192</v>
      </c>
      <c r="L34" s="2" t="s">
        <v>192</v>
      </c>
    </row>
  </sheetData>
  <hyperlinks>
    <hyperlink ref="A1" location="Indice!A1" display="Índice" xr:uid="{10660B24-CA9F-42DD-B567-A874DEA1904B}"/>
  </hyperlinks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DD33A-E1ED-48C1-8A8B-9D583889C7EF}">
  <dimension ref="D3:E12"/>
  <sheetViews>
    <sheetView workbookViewId="0">
      <selection activeCell="G16" sqref="G16"/>
    </sheetView>
  </sheetViews>
  <sheetFormatPr baseColWidth="10" defaultRowHeight="15"/>
  <cols>
    <col min="4" max="4" width="55.28515625" bestFit="1" customWidth="1"/>
    <col min="5" max="5" width="50.7109375" bestFit="1" customWidth="1"/>
  </cols>
  <sheetData>
    <row r="3" spans="4:5">
      <c r="D3" t="s">
        <v>174</v>
      </c>
      <c r="E3" t="s">
        <v>173</v>
      </c>
    </row>
    <row r="4" spans="4:5">
      <c r="D4" s="145" t="s">
        <v>156</v>
      </c>
      <c r="E4" s="145" t="s">
        <v>157</v>
      </c>
    </row>
    <row r="5" spans="4:5">
      <c r="D5" t="s">
        <v>159</v>
      </c>
      <c r="E5" t="s">
        <v>158</v>
      </c>
    </row>
    <row r="6" spans="4:5">
      <c r="D6" t="s">
        <v>159</v>
      </c>
      <c r="E6" t="s">
        <v>160</v>
      </c>
    </row>
    <row r="7" spans="4:5">
      <c r="D7" t="s">
        <v>161</v>
      </c>
      <c r="E7" t="s">
        <v>162</v>
      </c>
    </row>
    <row r="8" spans="4:5">
      <c r="D8" t="s">
        <v>163</v>
      </c>
      <c r="E8" t="s">
        <v>164</v>
      </c>
    </row>
    <row r="9" spans="4:5" ht="15.75">
      <c r="D9" t="s">
        <v>165</v>
      </c>
      <c r="E9" t="s">
        <v>166</v>
      </c>
    </row>
    <row r="10" spans="4:5">
      <c r="D10" t="s">
        <v>167</v>
      </c>
      <c r="E10" t="s">
        <v>168</v>
      </c>
    </row>
    <row r="11" spans="4:5">
      <c r="D11" t="s">
        <v>169</v>
      </c>
      <c r="E11" t="s">
        <v>170</v>
      </c>
    </row>
    <row r="12" spans="4:5">
      <c r="D12" t="s">
        <v>171</v>
      </c>
      <c r="E12" t="s">
        <v>172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E17FD-7D3C-4162-93FA-1E9064D662D0}">
  <sheetPr>
    <tabColor rgb="FF00B050"/>
  </sheetPr>
  <dimension ref="A1"/>
  <sheetViews>
    <sheetView topLeftCell="A4" workbookViewId="0">
      <selection activeCell="O16" sqref="O16"/>
    </sheetView>
  </sheetViews>
  <sheetFormatPr baseColWidth="10"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D7BA-D622-4777-8832-5E2087F1D3FC}">
  <sheetPr>
    <tabColor rgb="FF00B050"/>
    <pageSetUpPr fitToPage="1"/>
  </sheetPr>
  <dimension ref="A1:AF84"/>
  <sheetViews>
    <sheetView topLeftCell="C1" zoomScale="90" zoomScaleNormal="90" workbookViewId="0">
      <selection activeCell="W19" sqref="W19"/>
    </sheetView>
  </sheetViews>
  <sheetFormatPr baseColWidth="10" defaultColWidth="11.42578125" defaultRowHeight="12.75"/>
  <cols>
    <col min="1" max="1" width="2.42578125" style="173" customWidth="1"/>
    <col min="2" max="2" width="38.42578125" style="175" customWidth="1"/>
    <col min="3" max="3" width="25.140625" style="175" customWidth="1"/>
    <col min="4" max="4" width="13.28515625" style="175" bestFit="1" customWidth="1"/>
    <col min="5" max="5" width="12.7109375" style="175" customWidth="1"/>
    <col min="6" max="16" width="12.7109375" style="175" hidden="1" customWidth="1"/>
    <col min="17" max="17" width="12.7109375" style="175" customWidth="1"/>
    <col min="18" max="20" width="13.5703125" style="175" bestFit="1" customWidth="1"/>
    <col min="21" max="21" width="5.28515625" style="175" customWidth="1"/>
    <col min="22" max="23" width="15" style="175" customWidth="1"/>
    <col min="24" max="25" width="12" style="175" bestFit="1" customWidth="1"/>
    <col min="26" max="27" width="13.5703125" style="175" bestFit="1" customWidth="1"/>
    <col min="28" max="28" width="12" style="175" bestFit="1" customWidth="1"/>
    <col min="29" max="16384" width="11.42578125" style="175"/>
  </cols>
  <sheetData>
    <row r="1" spans="1:32" ht="12.75" customHeight="1">
      <c r="B1" s="174" t="s">
        <v>219</v>
      </c>
      <c r="F1" s="176"/>
      <c r="R1" s="177" t="s">
        <v>220</v>
      </c>
      <c r="S1" s="178"/>
      <c r="T1" s="178"/>
      <c r="U1" s="178"/>
    </row>
    <row r="2" spans="1:32" ht="12.75" customHeight="1">
      <c r="B2" s="174" t="s">
        <v>221</v>
      </c>
      <c r="C2" s="179" t="s">
        <v>222</v>
      </c>
    </row>
    <row r="3" spans="1:32" ht="12.75" customHeight="1">
      <c r="B3" s="174" t="s">
        <v>223</v>
      </c>
      <c r="C3" s="180" t="s">
        <v>224</v>
      </c>
      <c r="F3" s="181"/>
      <c r="G3" s="182"/>
    </row>
    <row r="4" spans="1:32" ht="12.75" customHeight="1">
      <c r="C4" s="183" t="s">
        <v>225</v>
      </c>
    </row>
    <row r="5" spans="1:32" ht="12.75" customHeight="1">
      <c r="C5" s="183" t="s">
        <v>226</v>
      </c>
    </row>
    <row r="6" spans="1:32" ht="5.0999999999999996" customHeight="1"/>
    <row r="7" spans="1:32" ht="24" customHeight="1">
      <c r="A7" s="184"/>
      <c r="B7" s="185" t="s">
        <v>227</v>
      </c>
      <c r="C7" s="186" t="s">
        <v>228</v>
      </c>
      <c r="D7" s="186" t="s">
        <v>229</v>
      </c>
      <c r="E7" s="187" t="s">
        <v>230</v>
      </c>
      <c r="F7" s="308" t="s">
        <v>231</v>
      </c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10"/>
      <c r="R7" s="188" t="s">
        <v>232</v>
      </c>
      <c r="S7" s="188" t="s">
        <v>233</v>
      </c>
      <c r="T7" s="188" t="s">
        <v>234</v>
      </c>
      <c r="X7" s="175" t="s">
        <v>305</v>
      </c>
    </row>
    <row r="8" spans="1:32" ht="12.75" customHeight="1">
      <c r="A8" s="184"/>
      <c r="B8" s="189"/>
      <c r="C8" s="190" t="s">
        <v>235</v>
      </c>
      <c r="D8" s="190" t="s">
        <v>235</v>
      </c>
      <c r="E8" s="191" t="s">
        <v>236</v>
      </c>
      <c r="F8" s="192" t="s">
        <v>237</v>
      </c>
      <c r="G8" s="192" t="s">
        <v>238</v>
      </c>
      <c r="H8" s="192" t="s">
        <v>239</v>
      </c>
      <c r="I8" s="192" t="s">
        <v>240</v>
      </c>
      <c r="J8" s="192" t="s">
        <v>241</v>
      </c>
      <c r="K8" s="192" t="s">
        <v>242</v>
      </c>
      <c r="L8" s="193" t="s">
        <v>243</v>
      </c>
      <c r="M8" s="192" t="s">
        <v>244</v>
      </c>
      <c r="N8" s="192" t="s">
        <v>245</v>
      </c>
      <c r="O8" s="192" t="s">
        <v>246</v>
      </c>
      <c r="P8" s="192" t="s">
        <v>247</v>
      </c>
      <c r="Q8" s="194" t="s">
        <v>248</v>
      </c>
      <c r="R8" s="194" t="s">
        <v>249</v>
      </c>
      <c r="S8" s="194" t="s">
        <v>249</v>
      </c>
      <c r="T8" s="194" t="s">
        <v>249</v>
      </c>
      <c r="W8" s="175">
        <v>2020</v>
      </c>
      <c r="X8" s="175">
        <v>2021</v>
      </c>
      <c r="Y8" s="175">
        <v>2022</v>
      </c>
      <c r="Z8" s="175">
        <v>2023</v>
      </c>
      <c r="AA8" s="175">
        <v>2024</v>
      </c>
      <c r="AB8" s="175" t="s">
        <v>311</v>
      </c>
    </row>
    <row r="9" spans="1:32" ht="10.35" customHeight="1">
      <c r="B9" s="195" t="s">
        <v>250</v>
      </c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V9" s="175" t="s">
        <v>307</v>
      </c>
      <c r="W9" s="201">
        <f>E61</f>
        <v>165932179</v>
      </c>
      <c r="X9" s="201">
        <f>Q61</f>
        <v>190140935</v>
      </c>
      <c r="Y9" s="201">
        <f t="shared" ref="Y9:AA9" si="0">R61</f>
        <v>79733336</v>
      </c>
      <c r="Z9" s="201">
        <f t="shared" si="0"/>
        <v>82118984</v>
      </c>
      <c r="AA9" s="201">
        <f t="shared" si="0"/>
        <v>80281810</v>
      </c>
      <c r="AB9" s="201">
        <f>AVERAGE(X9:AA9)</f>
        <v>108068766.25</v>
      </c>
    </row>
    <row r="10" spans="1:32" ht="10.35" customHeight="1">
      <c r="B10" s="197" t="s">
        <v>251</v>
      </c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V10" s="175" t="s">
        <v>308</v>
      </c>
      <c r="W10" s="201">
        <f>E60</f>
        <v>99440560</v>
      </c>
      <c r="X10" s="276">
        <f>Q60</f>
        <v>53091005</v>
      </c>
      <c r="Y10" s="276">
        <f t="shared" ref="Y10:AA10" si="1">R60</f>
        <v>24751396</v>
      </c>
      <c r="Z10" s="276">
        <f t="shared" si="1"/>
        <v>26276256</v>
      </c>
      <c r="AA10" s="276">
        <f t="shared" si="1"/>
        <v>27648630</v>
      </c>
      <c r="AB10" s="276">
        <f t="shared" ref="AB10:AB11" si="2">AVERAGE(X10:AA10)</f>
        <v>32941821.75</v>
      </c>
    </row>
    <row r="11" spans="1:32" ht="10.35" customHeight="1">
      <c r="B11" s="199" t="s">
        <v>252</v>
      </c>
      <c r="C11" s="200">
        <v>167878010</v>
      </c>
      <c r="D11" s="200">
        <v>275489752</v>
      </c>
      <c r="E11" s="200">
        <v>160405118</v>
      </c>
      <c r="F11" s="200">
        <v>150840077</v>
      </c>
      <c r="G11" s="200">
        <v>135188950</v>
      </c>
      <c r="H11" s="200">
        <v>123989409</v>
      </c>
      <c r="I11" s="200">
        <v>121847027</v>
      </c>
      <c r="J11" s="200">
        <v>127722555</v>
      </c>
      <c r="K11" s="200">
        <v>123464386</v>
      </c>
      <c r="L11" s="200">
        <v>126937336</v>
      </c>
      <c r="M11" s="200">
        <v>124274011</v>
      </c>
      <c r="N11" s="200">
        <v>111622553</v>
      </c>
      <c r="O11" s="200">
        <v>105890133</v>
      </c>
      <c r="P11" s="200">
        <v>103117042</v>
      </c>
      <c r="Q11" s="200">
        <v>95606591</v>
      </c>
      <c r="R11" s="200">
        <v>65355556</v>
      </c>
      <c r="S11" s="200">
        <v>66329574</v>
      </c>
      <c r="T11" s="200">
        <v>71197177</v>
      </c>
      <c r="V11" s="175" t="s">
        <v>306</v>
      </c>
      <c r="W11" s="201">
        <f>P71</f>
        <v>756418138.5</v>
      </c>
      <c r="X11" s="276">
        <f>Q71</f>
        <v>752871182</v>
      </c>
      <c r="Y11" s="276">
        <f t="shared" ref="Y11:AA11" si="3">R71</f>
        <v>967241038</v>
      </c>
      <c r="Z11" s="276">
        <f t="shared" si="3"/>
        <v>1015937685</v>
      </c>
      <c r="AA11" s="276">
        <f t="shared" si="3"/>
        <v>1052304565</v>
      </c>
      <c r="AB11" s="276">
        <f t="shared" si="2"/>
        <v>947088617.5</v>
      </c>
      <c r="AC11" s="201"/>
      <c r="AD11" s="201"/>
      <c r="AE11" s="201"/>
      <c r="AF11" s="201"/>
    </row>
    <row r="12" spans="1:32" ht="10.35" customHeight="1">
      <c r="B12" s="199" t="s">
        <v>253</v>
      </c>
      <c r="C12" s="200">
        <v>130191342</v>
      </c>
      <c r="D12" s="200">
        <v>11258366</v>
      </c>
      <c r="E12" s="200">
        <v>839244</v>
      </c>
      <c r="F12" s="200">
        <v>839244</v>
      </c>
      <c r="G12" s="200">
        <v>839244</v>
      </c>
      <c r="H12" s="200">
        <v>839244</v>
      </c>
      <c r="I12" s="200">
        <v>839244</v>
      </c>
      <c r="J12" s="200">
        <v>839244</v>
      </c>
      <c r="K12" s="200">
        <v>839244</v>
      </c>
      <c r="L12" s="200">
        <v>839244</v>
      </c>
      <c r="M12" s="200">
        <v>839244</v>
      </c>
      <c r="N12" s="200">
        <v>839244</v>
      </c>
      <c r="O12" s="200">
        <v>839244</v>
      </c>
      <c r="P12" s="200">
        <v>839244</v>
      </c>
      <c r="Q12" s="200">
        <v>839244</v>
      </c>
      <c r="R12" s="200">
        <v>881206</v>
      </c>
      <c r="S12" s="200">
        <v>925266</v>
      </c>
      <c r="T12" s="200">
        <v>971529</v>
      </c>
      <c r="AB12" s="201"/>
      <c r="AC12" s="201"/>
      <c r="AD12" s="201"/>
      <c r="AE12" s="201"/>
      <c r="AF12" s="201"/>
    </row>
    <row r="13" spans="1:32" ht="10.35" customHeight="1">
      <c r="B13" s="199" t="s">
        <v>254</v>
      </c>
      <c r="C13" s="200">
        <v>29117224</v>
      </c>
      <c r="D13" s="200">
        <v>24735989</v>
      </c>
      <c r="E13" s="200">
        <v>10109384</v>
      </c>
      <c r="F13" s="200">
        <v>10050704</v>
      </c>
      <c r="G13" s="200">
        <v>10434387</v>
      </c>
      <c r="H13" s="200">
        <v>10408561</v>
      </c>
      <c r="I13" s="200">
        <v>10386751</v>
      </c>
      <c r="J13" s="200">
        <v>10431138</v>
      </c>
      <c r="K13" s="200">
        <v>10432311</v>
      </c>
      <c r="L13" s="200">
        <v>10667671</v>
      </c>
      <c r="M13" s="200">
        <v>10455942</v>
      </c>
      <c r="N13" s="200">
        <v>11687396</v>
      </c>
      <c r="O13" s="200">
        <v>11589702</v>
      </c>
      <c r="P13" s="200">
        <v>12001816</v>
      </c>
      <c r="Q13" s="200">
        <v>12843663</v>
      </c>
      <c r="R13" s="200">
        <v>10278825</v>
      </c>
      <c r="S13" s="200">
        <v>6438618</v>
      </c>
      <c r="T13" s="200">
        <v>319087</v>
      </c>
      <c r="V13" s="175" t="s">
        <v>309</v>
      </c>
      <c r="X13" s="215">
        <f>X9/X11</f>
        <v>0.25255440710971455</v>
      </c>
      <c r="Y13" s="215">
        <f t="shared" ref="Y13:AA13" si="4">Y9/Y11</f>
        <v>8.2433781102658296E-2</v>
      </c>
      <c r="Z13" s="215">
        <f t="shared" si="4"/>
        <v>8.0830729298126194E-2</v>
      </c>
      <c r="AA13" s="215">
        <f t="shared" si="4"/>
        <v>7.6291420440621205E-2</v>
      </c>
      <c r="AB13" s="215">
        <f>AVERAGE(X13:AA13)</f>
        <v>0.12302758448778006</v>
      </c>
      <c r="AC13" s="215"/>
      <c r="AD13" s="201"/>
      <c r="AE13" s="201"/>
      <c r="AF13" s="201"/>
    </row>
    <row r="14" spans="1:32" ht="10.35" customHeight="1">
      <c r="B14" s="199" t="s">
        <v>255</v>
      </c>
      <c r="C14" s="200">
        <v>7511150</v>
      </c>
      <c r="D14" s="200">
        <v>6434922</v>
      </c>
      <c r="E14" s="200">
        <v>15590211</v>
      </c>
      <c r="F14" s="200">
        <v>15605801</v>
      </c>
      <c r="G14" s="200">
        <v>15621407</v>
      </c>
      <c r="H14" s="200">
        <v>27944671</v>
      </c>
      <c r="I14" s="200">
        <v>27972616</v>
      </c>
      <c r="J14" s="200">
        <v>28000589</v>
      </c>
      <c r="K14" s="200">
        <v>15720948</v>
      </c>
      <c r="L14" s="200">
        <v>15736669</v>
      </c>
      <c r="M14" s="200">
        <v>15752406</v>
      </c>
      <c r="N14" s="200">
        <v>15768158</v>
      </c>
      <c r="O14" s="200">
        <v>15783926</v>
      </c>
      <c r="P14" s="200">
        <v>15799710</v>
      </c>
      <c r="Q14" s="200">
        <v>15815510</v>
      </c>
      <c r="R14" s="200">
        <v>15973665</v>
      </c>
      <c r="S14" s="200">
        <v>16133402</v>
      </c>
      <c r="T14" s="200">
        <v>16294736</v>
      </c>
      <c r="V14" s="175" t="s">
        <v>310</v>
      </c>
      <c r="W14" s="284">
        <f>W10/W11</f>
        <v>0.13146242129676269</v>
      </c>
      <c r="X14" s="285">
        <f>X10/X11</f>
        <v>7.0518046472391072E-2</v>
      </c>
      <c r="Y14" s="285">
        <f t="shared" ref="Y14:AA14" si="5">Y10/Y11</f>
        <v>2.5589687603804916E-2</v>
      </c>
      <c r="Z14" s="285">
        <f t="shared" si="5"/>
        <v>2.5864043029371432E-2</v>
      </c>
      <c r="AA14" s="285">
        <f t="shared" si="5"/>
        <v>2.6274360978373216E-2</v>
      </c>
      <c r="AB14" s="285">
        <f>AVERAGE(X14:AA14)</f>
        <v>3.7061534520985158E-2</v>
      </c>
      <c r="AC14" s="201"/>
      <c r="AD14" s="201"/>
      <c r="AE14" s="201"/>
      <c r="AF14" s="201"/>
    </row>
    <row r="15" spans="1:32" ht="10.35" customHeight="1">
      <c r="B15" s="199" t="s">
        <v>256</v>
      </c>
      <c r="C15" s="200">
        <v>434889.88000000082</v>
      </c>
      <c r="D15" s="200">
        <v>158915</v>
      </c>
      <c r="E15" s="200">
        <v>338297</v>
      </c>
      <c r="F15" s="200">
        <v>338635</v>
      </c>
      <c r="G15" s="200">
        <v>338974</v>
      </c>
      <c r="H15" s="200">
        <v>339313</v>
      </c>
      <c r="I15" s="200">
        <v>339652</v>
      </c>
      <c r="J15" s="200">
        <v>339992</v>
      </c>
      <c r="K15" s="200">
        <v>340332</v>
      </c>
      <c r="L15" s="200">
        <v>340673</v>
      </c>
      <c r="M15" s="200">
        <v>341014</v>
      </c>
      <c r="N15" s="200">
        <v>341355</v>
      </c>
      <c r="O15" s="200">
        <v>341696</v>
      </c>
      <c r="P15" s="200">
        <v>342037</v>
      </c>
      <c r="Q15" s="200">
        <v>342379</v>
      </c>
      <c r="R15" s="200">
        <v>345803</v>
      </c>
      <c r="S15" s="200">
        <v>349261</v>
      </c>
      <c r="T15" s="200">
        <v>352754</v>
      </c>
      <c r="AB15" s="201"/>
      <c r="AC15" s="201"/>
      <c r="AD15" s="201"/>
      <c r="AE15" s="201"/>
      <c r="AF15" s="201"/>
    </row>
    <row r="16" spans="1:32" ht="10.35" customHeight="1">
      <c r="B16" s="199" t="s">
        <v>257</v>
      </c>
      <c r="C16" s="200">
        <v>5289758</v>
      </c>
      <c r="D16" s="200">
        <v>9433955</v>
      </c>
      <c r="E16" s="200">
        <v>5409123</v>
      </c>
      <c r="F16" s="200">
        <v>5415169</v>
      </c>
      <c r="G16" s="200">
        <v>5421221</v>
      </c>
      <c r="H16" s="200">
        <v>5427279</v>
      </c>
      <c r="I16" s="200">
        <v>5433343</v>
      </c>
      <c r="J16" s="200">
        <v>5439413</v>
      </c>
      <c r="K16" s="200">
        <v>5445489</v>
      </c>
      <c r="L16" s="200">
        <v>5451571</v>
      </c>
      <c r="M16" s="200">
        <v>5457659</v>
      </c>
      <c r="N16" s="200">
        <v>5463753</v>
      </c>
      <c r="O16" s="200">
        <v>5469853</v>
      </c>
      <c r="P16" s="200">
        <v>5475960</v>
      </c>
      <c r="Q16" s="200">
        <v>5482073</v>
      </c>
      <c r="R16" s="200">
        <v>5543261</v>
      </c>
      <c r="S16" s="200">
        <v>5605061</v>
      </c>
      <c r="T16" s="200">
        <v>5667479</v>
      </c>
      <c r="AB16" s="201"/>
      <c r="AC16" s="201"/>
      <c r="AD16" s="201"/>
      <c r="AE16" s="201"/>
      <c r="AF16" s="201"/>
    </row>
    <row r="17" spans="2:32" ht="10.35" customHeight="1">
      <c r="B17" s="199" t="s">
        <v>258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AB17" s="201"/>
      <c r="AC17" s="201"/>
      <c r="AD17" s="201"/>
      <c r="AE17" s="201"/>
      <c r="AF17" s="201"/>
    </row>
    <row r="18" spans="2:32" ht="10.35" customHeight="1">
      <c r="B18" s="199" t="s">
        <v>259</v>
      </c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AB18" s="201"/>
      <c r="AC18" s="201"/>
      <c r="AD18" s="201"/>
      <c r="AE18" s="201"/>
      <c r="AF18" s="201"/>
    </row>
    <row r="19" spans="2:32" ht="10.35" customHeight="1">
      <c r="B19" s="199" t="s">
        <v>260</v>
      </c>
      <c r="C19" s="200">
        <v>0</v>
      </c>
      <c r="D19" s="200">
        <v>4151934</v>
      </c>
      <c r="E19" s="200">
        <v>12307642</v>
      </c>
      <c r="F19" s="200">
        <v>13226397</v>
      </c>
      <c r="G19" s="200">
        <v>14199843</v>
      </c>
      <c r="H19" s="200">
        <v>2929435</v>
      </c>
      <c r="I19" s="200">
        <v>3464274</v>
      </c>
      <c r="J19" s="200">
        <v>3464274</v>
      </c>
      <c r="K19" s="200">
        <v>3464274</v>
      </c>
      <c r="L19" s="200">
        <v>3464274</v>
      </c>
      <c r="M19" s="200">
        <v>3464274</v>
      </c>
      <c r="N19" s="200">
        <v>3464274</v>
      </c>
      <c r="O19" s="200">
        <v>3464274</v>
      </c>
      <c r="P19" s="200">
        <v>3464274</v>
      </c>
      <c r="Q19" s="200">
        <v>3464274</v>
      </c>
      <c r="R19" s="200">
        <v>4773332</v>
      </c>
      <c r="S19" s="200">
        <v>5597557</v>
      </c>
      <c r="T19" s="200">
        <v>6419249</v>
      </c>
      <c r="V19" s="175" t="s">
        <v>357</v>
      </c>
      <c r="W19" s="201">
        <f>'Fuente ERI Presup (P)'!E24</f>
        <v>493018</v>
      </c>
      <c r="X19" s="201">
        <f>'Fuente ERI Presup (P)'!Q24</f>
        <v>2834820</v>
      </c>
      <c r="Y19" s="201">
        <f>'Fuente ERI Presup (P)'!R24</f>
        <v>3221283</v>
      </c>
      <c r="Z19" s="201">
        <f>'Fuente ERI Presup (P)'!S24</f>
        <v>3203500</v>
      </c>
      <c r="AA19" s="201">
        <f>'Fuente ERI Presup (P)'!T24</f>
        <v>4284900</v>
      </c>
      <c r="AB19" s="201"/>
      <c r="AC19" s="201"/>
      <c r="AD19" s="201"/>
      <c r="AE19" s="201"/>
      <c r="AF19" s="201"/>
    </row>
    <row r="20" spans="2:32" ht="10.35" customHeight="1">
      <c r="B20" s="199" t="s">
        <v>261</v>
      </c>
      <c r="C20" s="200">
        <v>135670</v>
      </c>
      <c r="D20" s="200">
        <v>49980</v>
      </c>
      <c r="E20" s="200">
        <v>1231543</v>
      </c>
      <c r="F20" s="200">
        <v>1232775</v>
      </c>
      <c r="G20" s="200">
        <v>1234008</v>
      </c>
      <c r="H20" s="200">
        <v>1235242</v>
      </c>
      <c r="I20" s="200">
        <v>1236477</v>
      </c>
      <c r="J20" s="200">
        <v>1237713</v>
      </c>
      <c r="K20" s="200">
        <v>1238951</v>
      </c>
      <c r="L20" s="200">
        <v>1240190</v>
      </c>
      <c r="M20" s="200">
        <v>1241430</v>
      </c>
      <c r="N20" s="200">
        <v>1242671</v>
      </c>
      <c r="O20" s="200">
        <v>1243914</v>
      </c>
      <c r="P20" s="200">
        <v>1245158</v>
      </c>
      <c r="Q20" s="200">
        <v>1246403</v>
      </c>
      <c r="R20" s="200">
        <v>1258867</v>
      </c>
      <c r="S20" s="200">
        <v>1271456</v>
      </c>
      <c r="T20" s="200">
        <v>1284171</v>
      </c>
      <c r="AB20" s="201"/>
      <c r="AC20" s="201"/>
      <c r="AD20" s="201"/>
      <c r="AE20" s="201"/>
      <c r="AF20" s="201"/>
    </row>
    <row r="21" spans="2:32" ht="10.35" customHeight="1">
      <c r="B21" s="199" t="s">
        <v>262</v>
      </c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V21" s="175" t="s">
        <v>358</v>
      </c>
      <c r="X21" s="254">
        <f>X19/W9</f>
        <v>1.7084208844144692E-2</v>
      </c>
      <c r="Y21" s="254">
        <f t="shared" ref="Y21:Z21" si="6">Y19/X9</f>
        <v>1.6941554431716663E-2</v>
      </c>
      <c r="Z21" s="254">
        <f t="shared" si="6"/>
        <v>4.0177674241549353E-2</v>
      </c>
      <c r="AA21" s="254">
        <f>AA19/Z9</f>
        <v>5.217916480798155E-2</v>
      </c>
      <c r="AB21" s="254">
        <f t="shared" ref="AB21:AB22" si="7">AVERAGE(X21:AA21)</f>
        <v>3.1595650581348063E-2</v>
      </c>
      <c r="AC21" s="201"/>
      <c r="AD21" s="201"/>
      <c r="AE21" s="201"/>
      <c r="AF21" s="201"/>
    </row>
    <row r="22" spans="2:32" ht="10.35" customHeight="1">
      <c r="B22" s="202" t="s">
        <v>263</v>
      </c>
      <c r="C22" s="203">
        <f t="shared" ref="C22" si="8">SUM(C11:C21)</f>
        <v>340558043.88</v>
      </c>
      <c r="D22" s="203">
        <f t="shared" ref="D22:T22" si="9">SUM(D11:D21)</f>
        <v>331713813</v>
      </c>
      <c r="E22" s="203">
        <f t="shared" si="9"/>
        <v>206230562</v>
      </c>
      <c r="F22" s="203">
        <f t="shared" si="9"/>
        <v>197548802</v>
      </c>
      <c r="G22" s="203">
        <f t="shared" si="9"/>
        <v>183278034</v>
      </c>
      <c r="H22" s="203">
        <f t="shared" si="9"/>
        <v>173113154</v>
      </c>
      <c r="I22" s="203">
        <f t="shared" si="9"/>
        <v>171519384</v>
      </c>
      <c r="J22" s="203">
        <f t="shared" si="9"/>
        <v>177474918</v>
      </c>
      <c r="K22" s="203">
        <f t="shared" si="9"/>
        <v>160945935</v>
      </c>
      <c r="L22" s="203">
        <f t="shared" si="9"/>
        <v>164677628</v>
      </c>
      <c r="M22" s="203">
        <f t="shared" si="9"/>
        <v>161825980</v>
      </c>
      <c r="N22" s="203">
        <f t="shared" si="9"/>
        <v>150429404</v>
      </c>
      <c r="O22" s="203">
        <f t="shared" si="9"/>
        <v>144622742</v>
      </c>
      <c r="P22" s="203">
        <f t="shared" si="9"/>
        <v>142285241</v>
      </c>
      <c r="Q22" s="203">
        <f t="shared" si="9"/>
        <v>135640137</v>
      </c>
      <c r="R22" s="203">
        <f t="shared" si="9"/>
        <v>104410515</v>
      </c>
      <c r="S22" s="203">
        <f t="shared" si="9"/>
        <v>102650195</v>
      </c>
      <c r="T22" s="203">
        <f t="shared" si="9"/>
        <v>102506182</v>
      </c>
      <c r="V22" s="175" t="s">
        <v>359</v>
      </c>
      <c r="X22" s="254">
        <f t="shared" ref="X22:Z22" si="10">X19/W10</f>
        <v>2.8507683383923017E-2</v>
      </c>
      <c r="Y22" s="254">
        <f t="shared" si="10"/>
        <v>6.0674741418061305E-2</v>
      </c>
      <c r="Z22" s="254">
        <f t="shared" si="10"/>
        <v>0.12942704322616794</v>
      </c>
      <c r="AA22" s="254">
        <f>AA19/Z10</f>
        <v>0.16307117726361015</v>
      </c>
      <c r="AB22" s="253">
        <f t="shared" si="7"/>
        <v>9.5420161322940594E-2</v>
      </c>
      <c r="AC22" s="201"/>
      <c r="AD22" s="201"/>
      <c r="AE22" s="201"/>
      <c r="AF22" s="201"/>
    </row>
    <row r="23" spans="2:32" ht="10.35" customHeight="1">
      <c r="B23" s="197" t="s">
        <v>264</v>
      </c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AA23" s="254"/>
      <c r="AB23" s="201"/>
      <c r="AC23" s="201"/>
      <c r="AD23" s="201"/>
      <c r="AE23" s="201"/>
      <c r="AF23" s="201"/>
    </row>
    <row r="24" spans="2:32" ht="10.35" customHeight="1">
      <c r="B24" s="199" t="s">
        <v>265</v>
      </c>
      <c r="C24" s="200"/>
      <c r="D24" s="200"/>
      <c r="E24" s="200"/>
      <c r="F24" s="200">
        <v>0</v>
      </c>
      <c r="G24" s="200">
        <v>0</v>
      </c>
      <c r="H24" s="200">
        <v>0</v>
      </c>
      <c r="I24" s="200">
        <v>0</v>
      </c>
      <c r="J24" s="200">
        <v>0</v>
      </c>
      <c r="K24" s="200">
        <v>0</v>
      </c>
      <c r="L24" s="200">
        <v>0</v>
      </c>
      <c r="M24" s="200">
        <v>0</v>
      </c>
      <c r="N24" s="200">
        <v>0</v>
      </c>
      <c r="O24" s="200">
        <v>0</v>
      </c>
      <c r="P24" s="200">
        <v>0</v>
      </c>
      <c r="Q24" s="200"/>
      <c r="R24" s="200"/>
      <c r="S24" s="200"/>
      <c r="T24" s="200"/>
      <c r="AB24" s="201"/>
      <c r="AC24" s="201"/>
      <c r="AD24" s="201"/>
      <c r="AE24" s="201"/>
      <c r="AF24" s="201"/>
    </row>
    <row r="25" spans="2:32" ht="10.35" customHeight="1">
      <c r="B25" s="199" t="s">
        <v>266</v>
      </c>
      <c r="C25" s="200">
        <v>32949475</v>
      </c>
      <c r="D25" s="200">
        <v>15568409</v>
      </c>
      <c r="E25" s="200">
        <v>11201588</v>
      </c>
      <c r="F25" s="200">
        <v>11212790</v>
      </c>
      <c r="G25" s="200">
        <v>11224003</v>
      </c>
      <c r="H25" s="200">
        <v>8235227</v>
      </c>
      <c r="I25" s="200">
        <v>8243462</v>
      </c>
      <c r="J25" s="200">
        <v>8251705</v>
      </c>
      <c r="K25" s="200">
        <v>5259957</v>
      </c>
      <c r="L25" s="200">
        <v>5265217</v>
      </c>
      <c r="M25" s="200">
        <v>5270482</v>
      </c>
      <c r="N25" s="200">
        <v>2275752</v>
      </c>
      <c r="O25" s="200">
        <v>2278028</v>
      </c>
      <c r="P25" s="200">
        <v>2280306</v>
      </c>
      <c r="Q25" s="200">
        <v>2282586</v>
      </c>
      <c r="R25" s="200">
        <v>2054327</v>
      </c>
      <c r="S25" s="200">
        <v>1848894</v>
      </c>
      <c r="T25" s="200">
        <v>1664005</v>
      </c>
      <c r="AB25" s="201"/>
      <c r="AC25" s="201"/>
      <c r="AD25" s="201"/>
      <c r="AE25" s="201"/>
      <c r="AF25" s="201"/>
    </row>
    <row r="26" spans="2:32" ht="10.35" customHeight="1">
      <c r="B26" s="199" t="s">
        <v>256</v>
      </c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AB26" s="201"/>
      <c r="AC26" s="201"/>
      <c r="AD26" s="201"/>
      <c r="AE26" s="201"/>
      <c r="AF26" s="201"/>
    </row>
    <row r="27" spans="2:32" ht="10.35" customHeight="1">
      <c r="B27" s="199" t="s">
        <v>258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AB27" s="201"/>
      <c r="AC27" s="201"/>
      <c r="AD27" s="201"/>
      <c r="AE27" s="201"/>
      <c r="AF27" s="201"/>
    </row>
    <row r="28" spans="2:32" ht="10.35" customHeight="1">
      <c r="B28" s="204" t="s">
        <v>267</v>
      </c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AB28" s="201"/>
      <c r="AC28" s="201"/>
      <c r="AD28" s="201"/>
      <c r="AE28" s="201"/>
      <c r="AF28" s="201"/>
    </row>
    <row r="29" spans="2:32" ht="10.35" customHeight="1">
      <c r="B29" s="204" t="s">
        <v>268</v>
      </c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AB29" s="201"/>
      <c r="AC29" s="201"/>
      <c r="AD29" s="201"/>
      <c r="AE29" s="201"/>
      <c r="AF29" s="201"/>
    </row>
    <row r="30" spans="2:32" ht="10.35" customHeight="1">
      <c r="B30" s="199" t="s">
        <v>269</v>
      </c>
      <c r="C30" s="200">
        <v>646994403</v>
      </c>
      <c r="D30" s="200">
        <v>735988082</v>
      </c>
      <c r="E30" s="200">
        <v>717043973</v>
      </c>
      <c r="F30" s="200">
        <v>713482038</v>
      </c>
      <c r="G30" s="200">
        <v>709401228</v>
      </c>
      <c r="H30" s="200">
        <v>705818954</v>
      </c>
      <c r="I30" s="200">
        <v>713404916</v>
      </c>
      <c r="J30" s="200">
        <v>713690620</v>
      </c>
      <c r="K30" s="200">
        <v>717479430</v>
      </c>
      <c r="L30" s="200">
        <v>716607820</v>
      </c>
      <c r="M30" s="200">
        <v>722766103</v>
      </c>
      <c r="N30" s="200">
        <v>739326665</v>
      </c>
      <c r="O30" s="200">
        <v>748005480</v>
      </c>
      <c r="P30" s="200">
        <v>751389309</v>
      </c>
      <c r="Q30" s="200">
        <v>753926174</v>
      </c>
      <c r="R30" s="200">
        <v>874268754</v>
      </c>
      <c r="S30" s="200">
        <v>920340525</v>
      </c>
      <c r="T30" s="200">
        <v>959801180</v>
      </c>
      <c r="AB30" s="201"/>
      <c r="AC30" s="201"/>
      <c r="AD30" s="201"/>
      <c r="AE30" s="201"/>
      <c r="AF30" s="201"/>
    </row>
    <row r="31" spans="2:32" ht="10.35" customHeight="1">
      <c r="B31" s="199" t="s">
        <v>270</v>
      </c>
      <c r="C31" s="200">
        <v>13461825</v>
      </c>
      <c r="D31" s="200">
        <v>11570784</v>
      </c>
      <c r="E31" s="200">
        <v>9886056</v>
      </c>
      <c r="F31" s="200">
        <v>9724565</v>
      </c>
      <c r="G31" s="200">
        <v>9563074</v>
      </c>
      <c r="H31" s="200">
        <v>9401583</v>
      </c>
      <c r="I31" s="200">
        <v>9240092</v>
      </c>
      <c r="J31" s="200">
        <v>9078601</v>
      </c>
      <c r="K31" s="200">
        <v>8917110</v>
      </c>
      <c r="L31" s="200">
        <v>8755619</v>
      </c>
      <c r="M31" s="200">
        <v>8594128</v>
      </c>
      <c r="N31" s="200">
        <v>8432637</v>
      </c>
      <c r="O31" s="200">
        <v>8271146</v>
      </c>
      <c r="P31" s="200">
        <v>8109655</v>
      </c>
      <c r="Q31" s="200">
        <v>7948164</v>
      </c>
      <c r="R31" s="200">
        <v>6010272</v>
      </c>
      <c r="S31" s="200">
        <v>4072380</v>
      </c>
      <c r="T31" s="200">
        <v>2134488</v>
      </c>
      <c r="AB31" s="201"/>
      <c r="AC31" s="201"/>
      <c r="AD31" s="201"/>
      <c r="AE31" s="201"/>
      <c r="AF31" s="201"/>
    </row>
    <row r="32" spans="2:32" ht="10.35" customHeight="1">
      <c r="B32" s="199" t="s">
        <v>271</v>
      </c>
      <c r="C32" s="200"/>
      <c r="D32" s="200"/>
      <c r="E32" s="200">
        <v>10994880</v>
      </c>
      <c r="F32" s="200">
        <v>14870751</v>
      </c>
      <c r="G32" s="200">
        <v>20678351</v>
      </c>
      <c r="H32" s="200">
        <v>24194094</v>
      </c>
      <c r="I32" s="200">
        <v>27168217</v>
      </c>
      <c r="J32" s="200">
        <v>30170512</v>
      </c>
      <c r="K32" s="200">
        <v>33209689</v>
      </c>
      <c r="L32" s="200">
        <v>35342211</v>
      </c>
      <c r="M32" s="200">
        <v>37363590</v>
      </c>
      <c r="N32" s="200">
        <v>38693262</v>
      </c>
      <c r="O32" s="200">
        <v>39986142</v>
      </c>
      <c r="P32" s="200">
        <v>41115347</v>
      </c>
      <c r="Q32" s="200">
        <v>43215056</v>
      </c>
      <c r="R32" s="200">
        <v>60230506</v>
      </c>
      <c r="S32" s="200">
        <v>69144675</v>
      </c>
      <c r="T32" s="200">
        <v>66480520</v>
      </c>
      <c r="AB32" s="201"/>
      <c r="AC32" s="201"/>
      <c r="AD32" s="201"/>
      <c r="AE32" s="201"/>
      <c r="AF32" s="201"/>
    </row>
    <row r="33" spans="2:32" s="175" customFormat="1" ht="10.35" customHeight="1">
      <c r="B33" s="199" t="s">
        <v>262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AB33" s="201"/>
      <c r="AC33" s="201"/>
      <c r="AD33" s="201"/>
      <c r="AE33" s="201"/>
      <c r="AF33" s="201"/>
    </row>
    <row r="34" spans="2:32" s="175" customFormat="1" ht="10.35" customHeight="1">
      <c r="B34" s="202" t="s">
        <v>272</v>
      </c>
      <c r="C34" s="203">
        <f t="shared" ref="C34:T34" si="11">SUM(C24:C33)</f>
        <v>693405703</v>
      </c>
      <c r="D34" s="203">
        <f t="shared" si="11"/>
        <v>763127275</v>
      </c>
      <c r="E34" s="203">
        <f t="shared" si="11"/>
        <v>749126497</v>
      </c>
      <c r="F34" s="203">
        <f t="shared" si="11"/>
        <v>749290144</v>
      </c>
      <c r="G34" s="203">
        <f t="shared" si="11"/>
        <v>750866656</v>
      </c>
      <c r="H34" s="203">
        <f t="shared" si="11"/>
        <v>747649858</v>
      </c>
      <c r="I34" s="203">
        <f t="shared" si="11"/>
        <v>758056687</v>
      </c>
      <c r="J34" s="203">
        <f t="shared" si="11"/>
        <v>761191438</v>
      </c>
      <c r="K34" s="203">
        <f t="shared" si="11"/>
        <v>764866186</v>
      </c>
      <c r="L34" s="203">
        <f t="shared" si="11"/>
        <v>765970867</v>
      </c>
      <c r="M34" s="203">
        <f t="shared" si="11"/>
        <v>773994303</v>
      </c>
      <c r="N34" s="203">
        <f t="shared" si="11"/>
        <v>788728316</v>
      </c>
      <c r="O34" s="203">
        <f t="shared" si="11"/>
        <v>798540796</v>
      </c>
      <c r="P34" s="203">
        <f t="shared" si="11"/>
        <v>802894617</v>
      </c>
      <c r="Q34" s="203">
        <f t="shared" si="11"/>
        <v>807371980</v>
      </c>
      <c r="R34" s="203">
        <f t="shared" si="11"/>
        <v>942563859</v>
      </c>
      <c r="S34" s="203">
        <f t="shared" si="11"/>
        <v>995406474</v>
      </c>
      <c r="T34" s="203">
        <f t="shared" si="11"/>
        <v>1030080193</v>
      </c>
      <c r="AB34" s="201"/>
      <c r="AC34" s="201"/>
      <c r="AD34" s="201"/>
      <c r="AE34" s="201"/>
      <c r="AF34" s="201"/>
    </row>
    <row r="35" spans="2:32" s="175" customFormat="1">
      <c r="B35" s="206" t="s">
        <v>273</v>
      </c>
      <c r="C35" s="207">
        <f t="shared" ref="C35:T35" si="12">+C22+C34</f>
        <v>1033963746.88</v>
      </c>
      <c r="D35" s="207">
        <f t="shared" si="12"/>
        <v>1094841088</v>
      </c>
      <c r="E35" s="207">
        <f t="shared" si="12"/>
        <v>955357059</v>
      </c>
      <c r="F35" s="207">
        <f t="shared" si="12"/>
        <v>946838946</v>
      </c>
      <c r="G35" s="207">
        <f t="shared" si="12"/>
        <v>934144690</v>
      </c>
      <c r="H35" s="207">
        <f t="shared" si="12"/>
        <v>920763012</v>
      </c>
      <c r="I35" s="207">
        <f t="shared" si="12"/>
        <v>929576071</v>
      </c>
      <c r="J35" s="207">
        <f t="shared" si="12"/>
        <v>938666356</v>
      </c>
      <c r="K35" s="207">
        <f t="shared" si="12"/>
        <v>925812121</v>
      </c>
      <c r="L35" s="207">
        <f t="shared" si="12"/>
        <v>930648495</v>
      </c>
      <c r="M35" s="207">
        <f t="shared" si="12"/>
        <v>935820283</v>
      </c>
      <c r="N35" s="207">
        <f t="shared" si="12"/>
        <v>939157720</v>
      </c>
      <c r="O35" s="207">
        <f t="shared" si="12"/>
        <v>943163538</v>
      </c>
      <c r="P35" s="207">
        <f t="shared" si="12"/>
        <v>945179858</v>
      </c>
      <c r="Q35" s="207">
        <f t="shared" si="12"/>
        <v>943012117</v>
      </c>
      <c r="R35" s="207">
        <f t="shared" si="12"/>
        <v>1046974374</v>
      </c>
      <c r="S35" s="207">
        <f t="shared" si="12"/>
        <v>1098056669</v>
      </c>
      <c r="T35" s="207">
        <f t="shared" si="12"/>
        <v>1132586375</v>
      </c>
      <c r="AB35" s="201"/>
      <c r="AC35" s="201"/>
      <c r="AD35" s="201"/>
      <c r="AE35" s="201"/>
      <c r="AF35" s="201"/>
    </row>
    <row r="36" spans="2:32" s="175" customFormat="1">
      <c r="B36" s="208" t="s">
        <v>274</v>
      </c>
      <c r="C36" s="209">
        <v>158612409</v>
      </c>
      <c r="D36" s="209">
        <v>144875328</v>
      </c>
      <c r="E36" s="209">
        <v>194928741</v>
      </c>
      <c r="F36" s="209">
        <v>194928741</v>
      </c>
      <c r="G36" s="209">
        <v>194928741</v>
      </c>
      <c r="H36" s="209">
        <v>194928741</v>
      </c>
      <c r="I36" s="209">
        <v>194928741</v>
      </c>
      <c r="J36" s="209">
        <v>194928741</v>
      </c>
      <c r="K36" s="209">
        <v>194928741</v>
      </c>
      <c r="L36" s="209">
        <v>194928741</v>
      </c>
      <c r="M36" s="209">
        <v>194928741</v>
      </c>
      <c r="N36" s="209">
        <v>194928741</v>
      </c>
      <c r="O36" s="209">
        <v>194928741</v>
      </c>
      <c r="P36" s="209">
        <v>194928741</v>
      </c>
      <c r="Q36" s="209">
        <v>194928741</v>
      </c>
      <c r="R36" s="209">
        <v>196878028</v>
      </c>
      <c r="S36" s="209">
        <v>198846808</v>
      </c>
      <c r="T36" s="209">
        <v>200835276</v>
      </c>
      <c r="AB36" s="201"/>
      <c r="AC36" s="201"/>
      <c r="AD36" s="201"/>
      <c r="AE36" s="201"/>
      <c r="AF36" s="201"/>
    </row>
    <row r="37" spans="2:32" s="175" customFormat="1">
      <c r="B37" s="197" t="s">
        <v>275</v>
      </c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AB37" s="201"/>
      <c r="AC37" s="201"/>
      <c r="AD37" s="201"/>
      <c r="AE37" s="201"/>
      <c r="AF37" s="201"/>
    </row>
    <row r="38" spans="2:32" s="175" customFormat="1">
      <c r="B38" s="197" t="s">
        <v>276</v>
      </c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AB38" s="201"/>
      <c r="AC38" s="201"/>
      <c r="AD38" s="201"/>
      <c r="AE38" s="201"/>
      <c r="AF38" s="201"/>
    </row>
    <row r="39" spans="2:32" s="175" customFormat="1">
      <c r="B39" s="199" t="s">
        <v>277</v>
      </c>
      <c r="C39" s="200"/>
      <c r="D39" s="200">
        <v>111421</v>
      </c>
      <c r="E39" s="210">
        <v>129926</v>
      </c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00"/>
      <c r="S39" s="200"/>
      <c r="T39" s="200"/>
      <c r="AB39" s="201"/>
      <c r="AC39" s="201"/>
      <c r="AD39" s="201"/>
      <c r="AE39" s="201"/>
      <c r="AF39" s="201"/>
    </row>
    <row r="40" spans="2:32" s="175" customFormat="1">
      <c r="B40" s="199" t="s">
        <v>278</v>
      </c>
      <c r="C40" s="200">
        <v>31171</v>
      </c>
      <c r="D40" s="200"/>
      <c r="E40" s="200"/>
      <c r="F40" s="210">
        <v>0</v>
      </c>
      <c r="G40" s="210">
        <v>0</v>
      </c>
      <c r="H40" s="210">
        <v>0</v>
      </c>
      <c r="I40" s="210">
        <v>15000000</v>
      </c>
      <c r="J40" s="210">
        <v>30000000</v>
      </c>
      <c r="K40" s="210">
        <v>40000000</v>
      </c>
      <c r="L40" s="210">
        <v>50000000</v>
      </c>
      <c r="M40" s="210">
        <v>60000000</v>
      </c>
      <c r="N40" s="210">
        <v>70000000</v>
      </c>
      <c r="O40" s="210">
        <v>77510302</v>
      </c>
      <c r="P40" s="210">
        <v>82526795</v>
      </c>
      <c r="Q40" s="210">
        <v>85045360</v>
      </c>
      <c r="R40" s="200"/>
      <c r="S40" s="200"/>
      <c r="T40" s="200"/>
      <c r="AB40" s="201"/>
      <c r="AC40" s="201"/>
      <c r="AD40" s="201"/>
      <c r="AE40" s="201"/>
      <c r="AF40" s="201"/>
    </row>
    <row r="41" spans="2:32" s="175" customFormat="1">
      <c r="B41" s="199" t="s">
        <v>279</v>
      </c>
      <c r="C41" s="200">
        <v>57994812</v>
      </c>
      <c r="D41" s="200">
        <v>26900258</v>
      </c>
      <c r="E41" s="210">
        <v>24920490</v>
      </c>
      <c r="F41" s="210">
        <v>24945410</v>
      </c>
      <c r="G41" s="210">
        <v>24970355</v>
      </c>
      <c r="H41" s="210">
        <v>24995325</v>
      </c>
      <c r="I41" s="210">
        <v>25020320</v>
      </c>
      <c r="J41" s="210">
        <v>25045340</v>
      </c>
      <c r="K41" s="210">
        <v>20070385</v>
      </c>
      <c r="L41" s="210">
        <v>20090455</v>
      </c>
      <c r="M41" s="210">
        <v>20110545</v>
      </c>
      <c r="N41" s="210">
        <v>20130656</v>
      </c>
      <c r="O41" s="210">
        <v>20150787</v>
      </c>
      <c r="P41" s="210">
        <v>20170938</v>
      </c>
      <c r="Q41" s="210">
        <v>20191109</v>
      </c>
      <c r="R41" s="200">
        <v>20393020</v>
      </c>
      <c r="S41" s="200">
        <v>20596950</v>
      </c>
      <c r="T41" s="200">
        <v>20802920</v>
      </c>
      <c r="AB41" s="201"/>
      <c r="AC41" s="201"/>
      <c r="AD41" s="201"/>
      <c r="AE41" s="201"/>
      <c r="AF41" s="201"/>
    </row>
    <row r="42" spans="2:32" s="175" customFormat="1">
      <c r="B42" s="199" t="s">
        <v>280</v>
      </c>
      <c r="C42" s="200">
        <f>13989741+140298</f>
        <v>14130039</v>
      </c>
      <c r="D42" s="200">
        <f>16564522+134478</f>
        <v>16699000</v>
      </c>
      <c r="E42" s="210">
        <v>21659095</v>
      </c>
      <c r="F42" s="210">
        <v>21567383</v>
      </c>
      <c r="G42" s="210">
        <v>21785142</v>
      </c>
      <c r="H42" s="210">
        <v>19900798</v>
      </c>
      <c r="I42" s="210">
        <v>19856018</v>
      </c>
      <c r="J42" s="210">
        <v>20154821</v>
      </c>
      <c r="K42" s="210">
        <v>17801094</v>
      </c>
      <c r="L42" s="210">
        <v>17775668</v>
      </c>
      <c r="M42" s="210">
        <v>17820084</v>
      </c>
      <c r="N42" s="210">
        <v>17388280</v>
      </c>
      <c r="O42" s="210">
        <v>17015518</v>
      </c>
      <c r="P42" s="210">
        <v>16755952</v>
      </c>
      <c r="Q42" s="210">
        <v>15645669</v>
      </c>
      <c r="R42" s="200">
        <v>18259450</v>
      </c>
      <c r="S42" s="200">
        <v>18753013</v>
      </c>
      <c r="T42" s="200">
        <v>15172567</v>
      </c>
      <c r="AB42" s="201"/>
      <c r="AC42" s="201"/>
      <c r="AD42" s="201"/>
      <c r="AE42" s="201"/>
      <c r="AF42" s="201"/>
    </row>
    <row r="43" spans="2:32" s="175" customFormat="1">
      <c r="B43" s="199" t="s">
        <v>281</v>
      </c>
      <c r="C43" s="200">
        <v>4372905</v>
      </c>
      <c r="D43" s="200">
        <v>4349639</v>
      </c>
      <c r="E43" s="210">
        <v>2375109</v>
      </c>
      <c r="F43" s="210">
        <v>2377484</v>
      </c>
      <c r="G43" s="210">
        <v>2379861</v>
      </c>
      <c r="H43" s="210">
        <v>2382241</v>
      </c>
      <c r="I43" s="210">
        <v>2384623</v>
      </c>
      <c r="J43" s="210">
        <v>2387008</v>
      </c>
      <c r="K43" s="210">
        <v>2389395</v>
      </c>
      <c r="L43" s="210">
        <v>2391784</v>
      </c>
      <c r="M43" s="210">
        <v>2394176</v>
      </c>
      <c r="N43" s="210">
        <v>2396570</v>
      </c>
      <c r="O43" s="210">
        <v>2398967</v>
      </c>
      <c r="P43" s="210">
        <v>2401366</v>
      </c>
      <c r="Q43" s="210">
        <v>2403767</v>
      </c>
      <c r="R43" s="200">
        <v>2427805</v>
      </c>
      <c r="S43" s="200">
        <v>2452083</v>
      </c>
      <c r="T43" s="200">
        <v>2476604</v>
      </c>
      <c r="AB43" s="201"/>
      <c r="AC43" s="201"/>
      <c r="AD43" s="201"/>
      <c r="AE43" s="201"/>
      <c r="AF43" s="201"/>
    </row>
    <row r="44" spans="2:32" s="175" customFormat="1">
      <c r="B44" s="199" t="s">
        <v>282</v>
      </c>
      <c r="C44" s="200"/>
      <c r="D44" s="20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00"/>
      <c r="S44" s="200"/>
      <c r="T44" s="200"/>
      <c r="AB44" s="201"/>
      <c r="AC44" s="201"/>
      <c r="AD44" s="201"/>
      <c r="AE44" s="201"/>
      <c r="AF44" s="201"/>
    </row>
    <row r="45" spans="2:32" s="175" customFormat="1">
      <c r="B45" s="199" t="s">
        <v>283</v>
      </c>
      <c r="C45" s="200"/>
      <c r="D45" s="20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00"/>
      <c r="S45" s="200"/>
      <c r="T45" s="200"/>
      <c r="AB45" s="201"/>
      <c r="AC45" s="201"/>
      <c r="AD45" s="201"/>
      <c r="AE45" s="201"/>
      <c r="AF45" s="201"/>
    </row>
    <row r="46" spans="2:32" s="175" customFormat="1">
      <c r="B46" s="199" t="s">
        <v>284</v>
      </c>
      <c r="C46" s="200">
        <v>1700559</v>
      </c>
      <c r="D46" s="200">
        <v>0</v>
      </c>
      <c r="E46" s="210"/>
      <c r="F46" s="210">
        <v>0</v>
      </c>
      <c r="G46" s="210">
        <v>0</v>
      </c>
      <c r="H46" s="210">
        <v>0</v>
      </c>
      <c r="I46" s="210">
        <v>0</v>
      </c>
      <c r="J46" s="210">
        <v>0</v>
      </c>
      <c r="K46" s="210">
        <v>0</v>
      </c>
      <c r="L46" s="210">
        <v>0</v>
      </c>
      <c r="M46" s="210">
        <v>0</v>
      </c>
      <c r="N46" s="210">
        <v>0</v>
      </c>
      <c r="O46" s="210">
        <v>0</v>
      </c>
      <c r="P46" s="210">
        <v>0</v>
      </c>
      <c r="Q46" s="210">
        <v>0</v>
      </c>
      <c r="R46" s="200">
        <v>0</v>
      </c>
      <c r="S46" s="200">
        <v>0</v>
      </c>
      <c r="T46" s="200">
        <v>0</v>
      </c>
      <c r="AB46" s="201"/>
      <c r="AC46" s="201"/>
      <c r="AD46" s="201"/>
      <c r="AE46" s="201"/>
      <c r="AF46" s="201"/>
    </row>
    <row r="47" spans="2:32" s="175" customFormat="1">
      <c r="B47" s="199" t="s">
        <v>285</v>
      </c>
      <c r="C47" s="200">
        <v>23584915</v>
      </c>
      <c r="D47" s="200">
        <v>31245312</v>
      </c>
      <c r="E47" s="210">
        <v>17406999</v>
      </c>
      <c r="F47" s="210">
        <v>18424406</v>
      </c>
      <c r="G47" s="210">
        <v>19442830</v>
      </c>
      <c r="H47" s="210">
        <v>16850890</v>
      </c>
      <c r="I47" s="210">
        <v>17867741</v>
      </c>
      <c r="J47" s="210">
        <v>18885609</v>
      </c>
      <c r="K47" s="210">
        <v>13681729</v>
      </c>
      <c r="L47" s="210">
        <v>13695411</v>
      </c>
      <c r="M47" s="210">
        <v>13709106</v>
      </c>
      <c r="N47" s="210">
        <v>13722815</v>
      </c>
      <c r="O47" s="210">
        <v>13736538</v>
      </c>
      <c r="P47" s="210">
        <v>13750275</v>
      </c>
      <c r="Q47" s="210">
        <v>13764025</v>
      </c>
      <c r="R47" s="200">
        <v>13901665</v>
      </c>
      <c r="S47" s="200">
        <v>14040682</v>
      </c>
      <c r="T47" s="200">
        <v>14181089</v>
      </c>
      <c r="AB47" s="201"/>
      <c r="AC47" s="201"/>
      <c r="AD47" s="201"/>
      <c r="AE47" s="201"/>
      <c r="AF47" s="201"/>
    </row>
    <row r="48" spans="2:32" s="175" customFormat="1">
      <c r="B48" s="199" t="s">
        <v>286</v>
      </c>
      <c r="C48" s="200"/>
      <c r="D48" s="200">
        <v>0</v>
      </c>
      <c r="E48" s="211">
        <v>0</v>
      </c>
      <c r="F48" s="212">
        <v>0</v>
      </c>
      <c r="G48" s="212"/>
      <c r="H48" s="212"/>
      <c r="I48" s="212"/>
      <c r="J48" s="212">
        <v>0</v>
      </c>
      <c r="K48" s="212">
        <v>0</v>
      </c>
      <c r="L48" s="212">
        <v>0</v>
      </c>
      <c r="M48" s="212">
        <v>0</v>
      </c>
      <c r="N48" s="212">
        <v>0</v>
      </c>
      <c r="O48" s="212">
        <v>0</v>
      </c>
      <c r="P48" s="212">
        <v>0</v>
      </c>
      <c r="Q48" s="211">
        <v>0</v>
      </c>
      <c r="R48" s="200"/>
      <c r="S48" s="200"/>
      <c r="T48" s="200"/>
      <c r="AB48" s="201"/>
      <c r="AC48" s="201"/>
      <c r="AD48" s="201"/>
      <c r="AE48" s="201"/>
      <c r="AF48" s="201"/>
    </row>
    <row r="49" spans="2:32" s="175" customFormat="1">
      <c r="B49" s="202" t="s">
        <v>287</v>
      </c>
      <c r="C49" s="203">
        <f t="shared" ref="C49:E49" si="13">SUM(C39:C48)</f>
        <v>101814401</v>
      </c>
      <c r="D49" s="203">
        <f t="shared" si="13"/>
        <v>79305630</v>
      </c>
      <c r="E49" s="203">
        <f t="shared" si="13"/>
        <v>66491619</v>
      </c>
      <c r="F49" s="203">
        <f t="shared" ref="F49:T49" si="14">SUM(F39:F48)</f>
        <v>67314683</v>
      </c>
      <c r="G49" s="203">
        <f t="shared" si="14"/>
        <v>68578188</v>
      </c>
      <c r="H49" s="203">
        <f t="shared" si="14"/>
        <v>64129254</v>
      </c>
      <c r="I49" s="203">
        <f t="shared" si="14"/>
        <v>80128702</v>
      </c>
      <c r="J49" s="203">
        <f t="shared" si="14"/>
        <v>96472778</v>
      </c>
      <c r="K49" s="203">
        <f t="shared" si="14"/>
        <v>93942603</v>
      </c>
      <c r="L49" s="203">
        <f t="shared" si="14"/>
        <v>103953318</v>
      </c>
      <c r="M49" s="203">
        <f t="shared" si="14"/>
        <v>114033911</v>
      </c>
      <c r="N49" s="203">
        <f t="shared" si="14"/>
        <v>123638321</v>
      </c>
      <c r="O49" s="203">
        <f t="shared" si="14"/>
        <v>130812112</v>
      </c>
      <c r="P49" s="203">
        <f t="shared" si="14"/>
        <v>135605326</v>
      </c>
      <c r="Q49" s="203">
        <f t="shared" si="14"/>
        <v>137049930</v>
      </c>
      <c r="R49" s="203">
        <f t="shared" si="14"/>
        <v>54981940</v>
      </c>
      <c r="S49" s="203">
        <f t="shared" si="14"/>
        <v>55842728</v>
      </c>
      <c r="T49" s="203">
        <f t="shared" si="14"/>
        <v>52633180</v>
      </c>
      <c r="AB49" s="201"/>
      <c r="AC49" s="201"/>
      <c r="AD49" s="201"/>
      <c r="AE49" s="201"/>
      <c r="AF49" s="201"/>
    </row>
    <row r="50" spans="2:32" s="175" customFormat="1">
      <c r="B50" s="197" t="s">
        <v>288</v>
      </c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AB50" s="201"/>
      <c r="AC50" s="201"/>
      <c r="AD50" s="201"/>
      <c r="AE50" s="201"/>
      <c r="AF50" s="201"/>
    </row>
    <row r="51" spans="2:32" s="175" customFormat="1">
      <c r="B51" s="199" t="s">
        <v>278</v>
      </c>
      <c r="C51" s="200"/>
      <c r="D51" s="200"/>
      <c r="E51" s="200">
        <v>0</v>
      </c>
      <c r="F51" s="200">
        <v>0</v>
      </c>
      <c r="G51" s="200">
        <v>0</v>
      </c>
      <c r="H51" s="200">
        <v>0</v>
      </c>
      <c r="I51" s="200">
        <v>0</v>
      </c>
      <c r="J51" s="200">
        <v>0</v>
      </c>
      <c r="K51" s="200">
        <v>0</v>
      </c>
      <c r="L51" s="200">
        <v>0</v>
      </c>
      <c r="M51" s="200">
        <v>0</v>
      </c>
      <c r="N51" s="200">
        <v>0</v>
      </c>
      <c r="O51" s="200">
        <v>0</v>
      </c>
      <c r="P51" s="200">
        <v>0</v>
      </c>
      <c r="Q51" s="200">
        <v>0</v>
      </c>
      <c r="R51" s="200"/>
      <c r="S51" s="200"/>
      <c r="T51" s="200"/>
      <c r="AB51" s="201"/>
      <c r="AC51" s="201"/>
      <c r="AD51" s="201"/>
      <c r="AE51" s="201"/>
      <c r="AF51" s="201"/>
    </row>
    <row r="52" spans="2:32" s="175" customFormat="1">
      <c r="B52" s="199" t="s">
        <v>289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AB52" s="201"/>
      <c r="AC52" s="201"/>
      <c r="AD52" s="201"/>
      <c r="AE52" s="201"/>
      <c r="AF52" s="201"/>
    </row>
    <row r="53" spans="2:32" s="175" customFormat="1">
      <c r="B53" s="199" t="s">
        <v>280</v>
      </c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AB53" s="201"/>
      <c r="AC53" s="201"/>
      <c r="AD53" s="201"/>
      <c r="AE53" s="201"/>
      <c r="AF53" s="201"/>
    </row>
    <row r="54" spans="2:32" s="175" customFormat="1">
      <c r="B54" s="199" t="s">
        <v>281</v>
      </c>
      <c r="C54" s="200">
        <v>32135274</v>
      </c>
      <c r="D54" s="200">
        <v>60234127</v>
      </c>
      <c r="E54" s="200">
        <v>77942249</v>
      </c>
      <c r="F54" s="200">
        <v>77697099</v>
      </c>
      <c r="G54" s="200">
        <v>72033223</v>
      </c>
      <c r="H54" s="200">
        <v>66875752</v>
      </c>
      <c r="I54" s="200">
        <v>64768252</v>
      </c>
      <c r="J54" s="200">
        <v>62460752</v>
      </c>
      <c r="K54" s="200">
        <v>57559129</v>
      </c>
      <c r="L54" s="200">
        <v>55258091</v>
      </c>
      <c r="M54" s="200">
        <v>51389869</v>
      </c>
      <c r="N54" s="200">
        <v>47420722</v>
      </c>
      <c r="O54" s="200">
        <v>43193734</v>
      </c>
      <c r="P54" s="200">
        <v>31520921.5</v>
      </c>
      <c r="Q54" s="200">
        <v>30033898</v>
      </c>
      <c r="R54" s="200"/>
      <c r="S54" s="200"/>
      <c r="T54" s="200"/>
      <c r="AB54" s="201"/>
      <c r="AC54" s="201"/>
      <c r="AD54" s="201"/>
      <c r="AE54" s="201"/>
      <c r="AF54" s="201"/>
    </row>
    <row r="55" spans="2:32" s="175" customFormat="1">
      <c r="B55" s="199" t="s">
        <v>290</v>
      </c>
      <c r="C55" s="200">
        <v>25161982</v>
      </c>
      <c r="D55" s="200">
        <v>19017003</v>
      </c>
      <c r="E55" s="200"/>
      <c r="F55" s="200">
        <v>0</v>
      </c>
      <c r="G55" s="200">
        <v>0</v>
      </c>
      <c r="H55" s="200">
        <v>0</v>
      </c>
      <c r="I55" s="200">
        <v>0</v>
      </c>
      <c r="J55" s="200">
        <v>0</v>
      </c>
      <c r="K55" s="200">
        <v>0</v>
      </c>
      <c r="L55" s="200">
        <v>0</v>
      </c>
      <c r="M55" s="200">
        <v>0</v>
      </c>
      <c r="N55" s="200">
        <v>0</v>
      </c>
      <c r="O55" s="200">
        <v>0</v>
      </c>
      <c r="P55" s="200">
        <v>0</v>
      </c>
      <c r="Q55" s="200">
        <v>0</v>
      </c>
      <c r="R55" s="200"/>
      <c r="S55" s="200">
        <v>0</v>
      </c>
      <c r="T55" s="200">
        <v>0</v>
      </c>
      <c r="AB55" s="201"/>
      <c r="AC55" s="201"/>
      <c r="AD55" s="201"/>
      <c r="AE55" s="201"/>
      <c r="AF55" s="201"/>
    </row>
    <row r="56" spans="2:32" s="175" customFormat="1">
      <c r="B56" s="199" t="s">
        <v>282</v>
      </c>
      <c r="C56" s="200">
        <v>18088354</v>
      </c>
      <c r="D56" s="200">
        <v>19076534</v>
      </c>
      <c r="E56" s="200">
        <v>21498311</v>
      </c>
      <c r="F56" s="200">
        <v>21419809</v>
      </c>
      <c r="G56" s="200">
        <v>21341229</v>
      </c>
      <c r="H56" s="200">
        <v>21262570</v>
      </c>
      <c r="I56" s="200">
        <v>21183833</v>
      </c>
      <c r="J56" s="200">
        <v>21105017</v>
      </c>
      <c r="K56" s="200">
        <v>22026122</v>
      </c>
      <c r="L56" s="200">
        <v>21948148</v>
      </c>
      <c r="M56" s="200">
        <v>21870096</v>
      </c>
      <c r="N56" s="200">
        <v>21791966</v>
      </c>
      <c r="O56" s="200">
        <v>21713758</v>
      </c>
      <c r="P56" s="200">
        <v>21635472</v>
      </c>
      <c r="Q56" s="200">
        <v>23057107</v>
      </c>
      <c r="R56" s="200">
        <v>24751396</v>
      </c>
      <c r="S56" s="200">
        <v>26276256</v>
      </c>
      <c r="T56" s="200">
        <v>27648630</v>
      </c>
      <c r="AB56" s="201"/>
      <c r="AC56" s="201"/>
      <c r="AD56" s="201"/>
      <c r="AE56" s="201"/>
      <c r="AF56" s="201"/>
    </row>
    <row r="57" spans="2:32" s="175" customFormat="1">
      <c r="B57" s="199" t="s">
        <v>285</v>
      </c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AB57" s="201"/>
      <c r="AC57" s="201"/>
      <c r="AD57" s="201"/>
      <c r="AE57" s="201"/>
      <c r="AF57" s="201"/>
    </row>
    <row r="58" spans="2:32" s="175" customFormat="1">
      <c r="B58" s="199" t="s">
        <v>286</v>
      </c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AB58" s="201"/>
      <c r="AC58" s="201"/>
      <c r="AD58" s="201"/>
      <c r="AE58" s="201"/>
      <c r="AF58" s="201"/>
    </row>
    <row r="59" spans="2:32" s="175" customFormat="1">
      <c r="B59" s="199" t="s">
        <v>291</v>
      </c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AB59" s="201"/>
      <c r="AC59" s="201"/>
      <c r="AD59" s="201"/>
      <c r="AE59" s="201"/>
      <c r="AF59" s="201"/>
    </row>
    <row r="60" spans="2:32" s="175" customFormat="1">
      <c r="B60" s="202" t="s">
        <v>292</v>
      </c>
      <c r="C60" s="203">
        <f t="shared" ref="C60:T60" si="15">SUM(C51:C59)</f>
        <v>75385610</v>
      </c>
      <c r="D60" s="203">
        <f t="shared" si="15"/>
        <v>98327664</v>
      </c>
      <c r="E60" s="203">
        <f t="shared" si="15"/>
        <v>99440560</v>
      </c>
      <c r="F60" s="203">
        <f t="shared" si="15"/>
        <v>99116908</v>
      </c>
      <c r="G60" s="203">
        <f t="shared" si="15"/>
        <v>93374452</v>
      </c>
      <c r="H60" s="203">
        <f t="shared" si="15"/>
        <v>88138322</v>
      </c>
      <c r="I60" s="203">
        <f t="shared" si="15"/>
        <v>85952085</v>
      </c>
      <c r="J60" s="203">
        <f t="shared" si="15"/>
        <v>83565769</v>
      </c>
      <c r="K60" s="203">
        <f t="shared" si="15"/>
        <v>79585251</v>
      </c>
      <c r="L60" s="203">
        <f t="shared" si="15"/>
        <v>77206239</v>
      </c>
      <c r="M60" s="203">
        <f t="shared" si="15"/>
        <v>73259965</v>
      </c>
      <c r="N60" s="203">
        <f t="shared" si="15"/>
        <v>69212688</v>
      </c>
      <c r="O60" s="203">
        <f t="shared" si="15"/>
        <v>64907492</v>
      </c>
      <c r="P60" s="203">
        <f t="shared" si="15"/>
        <v>53156393.5</v>
      </c>
      <c r="Q60" s="203">
        <f t="shared" si="15"/>
        <v>53091005</v>
      </c>
      <c r="R60" s="203">
        <f t="shared" si="15"/>
        <v>24751396</v>
      </c>
      <c r="S60" s="203">
        <f t="shared" si="15"/>
        <v>26276256</v>
      </c>
      <c r="T60" s="203">
        <f t="shared" si="15"/>
        <v>27648630</v>
      </c>
      <c r="AB60" s="201"/>
      <c r="AC60" s="201"/>
      <c r="AD60" s="201"/>
      <c r="AE60" s="201"/>
      <c r="AF60" s="201"/>
    </row>
    <row r="61" spans="2:32" s="175" customFormat="1">
      <c r="B61" s="206" t="s">
        <v>293</v>
      </c>
      <c r="C61" s="207">
        <f t="shared" ref="C61:T61" si="16">+C60+C49</f>
        <v>177200011</v>
      </c>
      <c r="D61" s="207">
        <f t="shared" si="16"/>
        <v>177633294</v>
      </c>
      <c r="E61" s="207">
        <f t="shared" si="16"/>
        <v>165932179</v>
      </c>
      <c r="F61" s="207">
        <f t="shared" si="16"/>
        <v>166431591</v>
      </c>
      <c r="G61" s="207">
        <f t="shared" si="16"/>
        <v>161952640</v>
      </c>
      <c r="H61" s="207">
        <f t="shared" si="16"/>
        <v>152267576</v>
      </c>
      <c r="I61" s="207">
        <f t="shared" si="16"/>
        <v>166080787</v>
      </c>
      <c r="J61" s="207">
        <f t="shared" si="16"/>
        <v>180038547</v>
      </c>
      <c r="K61" s="207">
        <f t="shared" si="16"/>
        <v>173527854</v>
      </c>
      <c r="L61" s="207">
        <f t="shared" si="16"/>
        <v>181159557</v>
      </c>
      <c r="M61" s="207">
        <f t="shared" si="16"/>
        <v>187293876</v>
      </c>
      <c r="N61" s="207">
        <f t="shared" si="16"/>
        <v>192851009</v>
      </c>
      <c r="O61" s="207">
        <f t="shared" si="16"/>
        <v>195719604</v>
      </c>
      <c r="P61" s="207">
        <f t="shared" si="16"/>
        <v>188761719.5</v>
      </c>
      <c r="Q61" s="207">
        <f t="shared" si="16"/>
        <v>190140935</v>
      </c>
      <c r="R61" s="207">
        <f t="shared" si="16"/>
        <v>79733336</v>
      </c>
      <c r="S61" s="207">
        <f t="shared" si="16"/>
        <v>82118984</v>
      </c>
      <c r="T61" s="207">
        <f t="shared" si="16"/>
        <v>80281810</v>
      </c>
      <c r="AB61" s="201"/>
      <c r="AC61" s="201"/>
      <c r="AD61" s="201"/>
      <c r="AE61" s="201"/>
      <c r="AF61" s="201"/>
    </row>
    <row r="62" spans="2:32" s="175" customFormat="1">
      <c r="B62" s="197" t="s">
        <v>294</v>
      </c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AB62" s="201"/>
      <c r="AC62" s="201"/>
      <c r="AD62" s="201"/>
      <c r="AE62" s="201"/>
      <c r="AF62" s="201"/>
    </row>
    <row r="63" spans="2:32" s="175" customFormat="1">
      <c r="B63" s="199" t="s">
        <v>295</v>
      </c>
      <c r="C63" s="200">
        <v>317290321</v>
      </c>
      <c r="D63" s="200">
        <v>317290321</v>
      </c>
      <c r="E63" s="200">
        <v>317290321</v>
      </c>
      <c r="F63" s="200">
        <v>317290321</v>
      </c>
      <c r="G63" s="200">
        <v>317290321</v>
      </c>
      <c r="H63" s="200">
        <v>317290321</v>
      </c>
      <c r="I63" s="200">
        <v>317290321</v>
      </c>
      <c r="J63" s="200">
        <v>317290321</v>
      </c>
      <c r="K63" s="200">
        <v>317290321</v>
      </c>
      <c r="L63" s="200">
        <v>317290321</v>
      </c>
      <c r="M63" s="200">
        <v>317290321</v>
      </c>
      <c r="N63" s="200">
        <v>317290321</v>
      </c>
      <c r="O63" s="200">
        <v>317290321</v>
      </c>
      <c r="P63" s="200">
        <v>317290321</v>
      </c>
      <c r="Q63" s="200">
        <v>317290321</v>
      </c>
      <c r="R63" s="200">
        <v>317290321</v>
      </c>
      <c r="S63" s="200">
        <v>542290321</v>
      </c>
      <c r="T63" s="200">
        <v>612290321</v>
      </c>
      <c r="AB63" s="201"/>
      <c r="AC63" s="201"/>
      <c r="AD63" s="201"/>
      <c r="AE63" s="201"/>
      <c r="AF63" s="201"/>
    </row>
    <row r="64" spans="2:32" s="175" customFormat="1">
      <c r="B64" s="199" t="s">
        <v>296</v>
      </c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AB64" s="201"/>
      <c r="AC64" s="201"/>
      <c r="AD64" s="201"/>
      <c r="AE64" s="201"/>
      <c r="AF64" s="201"/>
    </row>
    <row r="65" spans="1:32">
      <c r="A65" s="175"/>
      <c r="B65" s="199" t="s">
        <v>297</v>
      </c>
      <c r="C65" s="200">
        <v>196307656</v>
      </c>
      <c r="D65" s="200">
        <v>299978713</v>
      </c>
      <c r="E65" s="200">
        <v>314928870</v>
      </c>
      <c r="F65" s="200">
        <v>315174020</v>
      </c>
      <c r="G65" s="200">
        <v>320837896</v>
      </c>
      <c r="H65" s="200">
        <v>325543309</v>
      </c>
      <c r="I65" s="200">
        <v>327650809</v>
      </c>
      <c r="J65" s="200">
        <v>329958309</v>
      </c>
      <c r="K65" s="200">
        <v>330877886</v>
      </c>
      <c r="L65" s="200">
        <v>333178924</v>
      </c>
      <c r="M65" s="200">
        <v>337047146</v>
      </c>
      <c r="N65" s="200">
        <v>338005138</v>
      </c>
      <c r="O65" s="200">
        <v>342232126</v>
      </c>
      <c r="P65" s="200">
        <v>353904938.5</v>
      </c>
      <c r="Q65" s="200">
        <v>355367208</v>
      </c>
      <c r="R65" s="200">
        <v>610401106</v>
      </c>
      <c r="S65" s="200">
        <v>455401106</v>
      </c>
      <c r="T65" s="200">
        <v>415401106</v>
      </c>
      <c r="AB65" s="201"/>
      <c r="AC65" s="201"/>
      <c r="AD65" s="201"/>
      <c r="AE65" s="201"/>
      <c r="AF65" s="201"/>
    </row>
    <row r="66" spans="1:32">
      <c r="A66" s="175"/>
      <c r="B66" s="199" t="s">
        <v>298</v>
      </c>
      <c r="C66" s="200"/>
      <c r="D66" s="200"/>
      <c r="E66" s="200">
        <v>0</v>
      </c>
      <c r="F66" s="200">
        <v>0</v>
      </c>
      <c r="G66" s="200">
        <v>0</v>
      </c>
      <c r="H66" s="200">
        <v>0</v>
      </c>
      <c r="I66" s="200">
        <v>0</v>
      </c>
      <c r="J66" s="200">
        <v>0</v>
      </c>
      <c r="K66" s="200">
        <v>0</v>
      </c>
      <c r="L66" s="200">
        <v>0</v>
      </c>
      <c r="M66" s="200">
        <v>0</v>
      </c>
      <c r="N66" s="200">
        <v>0</v>
      </c>
      <c r="O66" s="200">
        <v>0</v>
      </c>
      <c r="P66" s="200">
        <v>0</v>
      </c>
      <c r="Q66" s="200">
        <v>0</v>
      </c>
      <c r="R66" s="200">
        <v>0</v>
      </c>
      <c r="S66" s="200">
        <v>0</v>
      </c>
      <c r="T66" s="200">
        <v>0</v>
      </c>
      <c r="AB66" s="201"/>
      <c r="AC66" s="201"/>
      <c r="AD66" s="201"/>
      <c r="AE66" s="201"/>
      <c r="AF66" s="201"/>
    </row>
    <row r="67" spans="1:32">
      <c r="A67" s="175"/>
      <c r="B67" s="199" t="s">
        <v>299</v>
      </c>
      <c r="C67" s="200">
        <v>24707559</v>
      </c>
      <c r="D67" s="200">
        <v>31238640</v>
      </c>
      <c r="E67" s="200">
        <v>37021828</v>
      </c>
      <c r="F67" s="200">
        <v>37021828</v>
      </c>
      <c r="G67" s="200">
        <v>37021828</v>
      </c>
      <c r="H67" s="200">
        <v>37021828</v>
      </c>
      <c r="I67" s="200">
        <v>37021828</v>
      </c>
      <c r="J67" s="200">
        <v>37021828</v>
      </c>
      <c r="K67" s="200">
        <v>37021828</v>
      </c>
      <c r="L67" s="200">
        <v>37021828</v>
      </c>
      <c r="M67" s="200">
        <v>37021828</v>
      </c>
      <c r="N67" s="200">
        <v>37021828</v>
      </c>
      <c r="O67" s="200">
        <v>37021828</v>
      </c>
      <c r="P67" s="200">
        <v>37021828</v>
      </c>
      <c r="Q67" s="200">
        <v>37021828</v>
      </c>
      <c r="R67" s="200">
        <v>37021828</v>
      </c>
      <c r="S67" s="200">
        <v>37021828</v>
      </c>
      <c r="T67" s="200">
        <v>37021828</v>
      </c>
      <c r="AB67" s="201"/>
      <c r="AC67" s="201"/>
      <c r="AD67" s="201"/>
      <c r="AE67" s="201"/>
      <c r="AF67" s="201"/>
    </row>
    <row r="68" spans="1:32">
      <c r="A68" s="175"/>
      <c r="B68" s="199" t="s">
        <v>300</v>
      </c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AB68" s="201"/>
      <c r="AC68" s="201"/>
      <c r="AD68" s="201"/>
      <c r="AE68" s="201"/>
      <c r="AF68" s="201"/>
    </row>
    <row r="69" spans="1:32">
      <c r="A69" s="175"/>
      <c r="B69" s="199" t="s">
        <v>301</v>
      </c>
      <c r="C69" s="200">
        <v>318458200</v>
      </c>
      <c r="D69" s="200">
        <v>268700120</v>
      </c>
      <c r="E69" s="200">
        <v>120183861</v>
      </c>
      <c r="F69" s="200">
        <v>110921186</v>
      </c>
      <c r="G69" s="200">
        <v>97042005</v>
      </c>
      <c r="H69" s="200">
        <v>88639978</v>
      </c>
      <c r="I69" s="200">
        <v>81532326</v>
      </c>
      <c r="J69" s="200">
        <v>74357351</v>
      </c>
      <c r="K69" s="200">
        <v>67094232</v>
      </c>
      <c r="L69" s="200">
        <v>61997865</v>
      </c>
      <c r="M69" s="200">
        <v>57167112</v>
      </c>
      <c r="N69" s="200">
        <v>53989424</v>
      </c>
      <c r="O69" s="200">
        <v>50899659</v>
      </c>
      <c r="P69" s="200">
        <v>48201051</v>
      </c>
      <c r="Q69" s="200">
        <v>43191825</v>
      </c>
      <c r="R69" s="200">
        <v>2527783</v>
      </c>
      <c r="S69" s="200">
        <v>-18775570</v>
      </c>
      <c r="T69" s="200">
        <v>-12408690</v>
      </c>
      <c r="AB69" s="201"/>
      <c r="AC69" s="201"/>
      <c r="AD69" s="201"/>
      <c r="AE69" s="201"/>
      <c r="AF69" s="201"/>
    </row>
    <row r="70" spans="1:32">
      <c r="A70" s="175"/>
      <c r="B70" s="199" t="s">
        <v>302</v>
      </c>
      <c r="C70" s="200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AB70" s="201"/>
      <c r="AC70" s="201"/>
      <c r="AD70" s="201"/>
      <c r="AE70" s="201"/>
      <c r="AF70" s="201"/>
    </row>
    <row r="71" spans="1:32">
      <c r="A71" s="175"/>
      <c r="B71" s="202" t="s">
        <v>303</v>
      </c>
      <c r="C71" s="203">
        <f t="shared" ref="C71:T71" si="17">SUM(C63:C70)</f>
        <v>856763736</v>
      </c>
      <c r="D71" s="203">
        <f t="shared" si="17"/>
        <v>917207794</v>
      </c>
      <c r="E71" s="203">
        <f t="shared" si="17"/>
        <v>789424880</v>
      </c>
      <c r="F71" s="203">
        <f t="shared" si="17"/>
        <v>780407355</v>
      </c>
      <c r="G71" s="203">
        <f t="shared" si="17"/>
        <v>772192050</v>
      </c>
      <c r="H71" s="203">
        <f t="shared" si="17"/>
        <v>768495436</v>
      </c>
      <c r="I71" s="203">
        <f t="shared" si="17"/>
        <v>763495284</v>
      </c>
      <c r="J71" s="203">
        <f t="shared" si="17"/>
        <v>758627809</v>
      </c>
      <c r="K71" s="203">
        <f t="shared" si="17"/>
        <v>752284267</v>
      </c>
      <c r="L71" s="203">
        <f t="shared" si="17"/>
        <v>749488938</v>
      </c>
      <c r="M71" s="203">
        <f t="shared" si="17"/>
        <v>748526407</v>
      </c>
      <c r="N71" s="203">
        <f t="shared" si="17"/>
        <v>746306711</v>
      </c>
      <c r="O71" s="203">
        <f t="shared" si="17"/>
        <v>747443934</v>
      </c>
      <c r="P71" s="203">
        <f t="shared" si="17"/>
        <v>756418138.5</v>
      </c>
      <c r="Q71" s="203">
        <f t="shared" si="17"/>
        <v>752871182</v>
      </c>
      <c r="R71" s="203">
        <f t="shared" si="17"/>
        <v>967241038</v>
      </c>
      <c r="S71" s="203">
        <f t="shared" si="17"/>
        <v>1015937685</v>
      </c>
      <c r="T71" s="203">
        <f t="shared" si="17"/>
        <v>1052304565</v>
      </c>
      <c r="AB71" s="201"/>
      <c r="AC71" s="201"/>
      <c r="AD71" s="201"/>
      <c r="AE71" s="201"/>
      <c r="AF71" s="201"/>
    </row>
    <row r="72" spans="1:32">
      <c r="A72" s="175"/>
      <c r="B72" s="206" t="s">
        <v>304</v>
      </c>
      <c r="C72" s="207">
        <f t="shared" ref="C72:T72" si="18">+C71+C61</f>
        <v>1033963747</v>
      </c>
      <c r="D72" s="207">
        <f t="shared" si="18"/>
        <v>1094841088</v>
      </c>
      <c r="E72" s="207">
        <f t="shared" si="18"/>
        <v>955357059</v>
      </c>
      <c r="F72" s="207">
        <f t="shared" si="18"/>
        <v>946838946</v>
      </c>
      <c r="G72" s="207">
        <f t="shared" si="18"/>
        <v>934144690</v>
      </c>
      <c r="H72" s="207">
        <f t="shared" si="18"/>
        <v>920763012</v>
      </c>
      <c r="I72" s="207">
        <f t="shared" si="18"/>
        <v>929576071</v>
      </c>
      <c r="J72" s="207">
        <f t="shared" si="18"/>
        <v>938666356</v>
      </c>
      <c r="K72" s="207">
        <f t="shared" si="18"/>
        <v>925812121</v>
      </c>
      <c r="L72" s="207">
        <f t="shared" si="18"/>
        <v>930648495</v>
      </c>
      <c r="M72" s="207">
        <f t="shared" si="18"/>
        <v>935820283</v>
      </c>
      <c r="N72" s="207">
        <f t="shared" si="18"/>
        <v>939157720</v>
      </c>
      <c r="O72" s="207">
        <f t="shared" si="18"/>
        <v>943163538</v>
      </c>
      <c r="P72" s="207">
        <f t="shared" si="18"/>
        <v>945179858</v>
      </c>
      <c r="Q72" s="207">
        <f t="shared" si="18"/>
        <v>943012117</v>
      </c>
      <c r="R72" s="207">
        <f t="shared" si="18"/>
        <v>1046974374</v>
      </c>
      <c r="S72" s="207">
        <f t="shared" si="18"/>
        <v>1098056669</v>
      </c>
      <c r="T72" s="207">
        <f t="shared" si="18"/>
        <v>1132586375</v>
      </c>
      <c r="AB72" s="201"/>
      <c r="AC72" s="201"/>
      <c r="AD72" s="201"/>
      <c r="AE72" s="201"/>
      <c r="AF72" s="201"/>
    </row>
    <row r="73" spans="1:32">
      <c r="A73" s="175"/>
      <c r="B73" s="213" t="s">
        <v>274</v>
      </c>
      <c r="C73" s="209">
        <v>144875328</v>
      </c>
      <c r="D73" s="209">
        <v>144875328</v>
      </c>
      <c r="E73" s="209">
        <v>194928741</v>
      </c>
      <c r="F73" s="209">
        <v>194928741</v>
      </c>
      <c r="G73" s="209">
        <v>194928741</v>
      </c>
      <c r="H73" s="209">
        <v>194928741</v>
      </c>
      <c r="I73" s="209">
        <v>194928741</v>
      </c>
      <c r="J73" s="209">
        <v>194928741</v>
      </c>
      <c r="K73" s="209">
        <v>194928741</v>
      </c>
      <c r="L73" s="209">
        <v>194928741</v>
      </c>
      <c r="M73" s="209">
        <v>194928741</v>
      </c>
      <c r="N73" s="209">
        <v>194928741</v>
      </c>
      <c r="O73" s="209">
        <v>194928741</v>
      </c>
      <c r="P73" s="209">
        <v>194928741</v>
      </c>
      <c r="Q73" s="209">
        <v>194928741</v>
      </c>
      <c r="R73" s="209">
        <v>196878028</v>
      </c>
      <c r="S73" s="209">
        <v>198846808</v>
      </c>
      <c r="T73" s="209">
        <v>200835276</v>
      </c>
      <c r="AB73" s="201"/>
      <c r="AC73" s="201"/>
      <c r="AD73" s="201"/>
      <c r="AE73" s="201"/>
      <c r="AF73" s="201"/>
    </row>
    <row r="74" spans="1:32">
      <c r="F74" s="201"/>
      <c r="K74" s="201"/>
    </row>
    <row r="75" spans="1:32">
      <c r="A75" s="175"/>
      <c r="C75" s="214">
        <f t="shared" ref="C75:E75" si="19">+C35-C72</f>
        <v>-0.12000000476837158</v>
      </c>
      <c r="D75" s="214">
        <f t="shared" si="19"/>
        <v>0</v>
      </c>
      <c r="E75" s="214">
        <f t="shared" si="19"/>
        <v>0</v>
      </c>
      <c r="F75" s="214">
        <f>+F35-F72</f>
        <v>0</v>
      </c>
      <c r="G75" s="214">
        <f t="shared" ref="G75:T75" si="20">+G35-G72</f>
        <v>0</v>
      </c>
      <c r="H75" s="214">
        <f t="shared" si="20"/>
        <v>0</v>
      </c>
      <c r="I75" s="214">
        <f t="shared" si="20"/>
        <v>0</v>
      </c>
      <c r="J75" s="214">
        <f t="shared" si="20"/>
        <v>0</v>
      </c>
      <c r="K75" s="214">
        <f t="shared" si="20"/>
        <v>0</v>
      </c>
      <c r="L75" s="214">
        <f t="shared" si="20"/>
        <v>0</v>
      </c>
      <c r="M75" s="214">
        <f t="shared" si="20"/>
        <v>0</v>
      </c>
      <c r="N75" s="214">
        <f t="shared" si="20"/>
        <v>0</v>
      </c>
      <c r="O75" s="214">
        <f t="shared" si="20"/>
        <v>0</v>
      </c>
      <c r="P75" s="214">
        <f t="shared" si="20"/>
        <v>0</v>
      </c>
      <c r="Q75" s="214">
        <f t="shared" si="20"/>
        <v>0</v>
      </c>
      <c r="R75" s="214">
        <f>+R35-R72</f>
        <v>0</v>
      </c>
      <c r="S75" s="214">
        <f t="shared" si="20"/>
        <v>0</v>
      </c>
      <c r="T75" s="214">
        <f t="shared" si="20"/>
        <v>0</v>
      </c>
    </row>
    <row r="76" spans="1:32"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4"/>
      <c r="S76" s="214"/>
    </row>
    <row r="77" spans="1:32">
      <c r="A77" s="175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</row>
    <row r="78" spans="1:32">
      <c r="E78" s="201"/>
      <c r="Q78" s="201"/>
      <c r="R78" s="201"/>
      <c r="S78" s="201"/>
      <c r="T78" s="201"/>
    </row>
    <row r="79" spans="1:32">
      <c r="E79" s="201"/>
      <c r="Q79" s="201"/>
      <c r="R79" s="201"/>
      <c r="S79" s="201"/>
      <c r="T79" s="201"/>
    </row>
    <row r="80" spans="1:32">
      <c r="E80" s="201"/>
      <c r="Q80" s="201"/>
      <c r="R80" s="201"/>
      <c r="S80" s="201"/>
      <c r="T80" s="201"/>
    </row>
    <row r="83" spans="5:20">
      <c r="E83" s="201"/>
      <c r="Q83" s="201"/>
      <c r="R83" s="201"/>
      <c r="S83" s="201"/>
      <c r="T83" s="201"/>
    </row>
    <row r="84" spans="5:20">
      <c r="E84" s="201"/>
      <c r="Q84" s="201"/>
      <c r="R84" s="201"/>
      <c r="S84" s="201"/>
      <c r="T84" s="201"/>
    </row>
  </sheetData>
  <mergeCells count="1">
    <mergeCell ref="F7:Q7"/>
  </mergeCells>
  <pageMargins left="0.70866141732283472" right="0.70866141732283472" top="0.74803149606299213" bottom="0.74803149606299213" header="0.31496062992125984" footer="0.31496062992125984"/>
  <pageSetup paperSize="9" scale="71" fitToWidth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5983C-B2A7-4D0D-B566-23C4A7E9C862}">
  <sheetPr>
    <tabColor rgb="FF92D050"/>
  </sheetPr>
  <dimension ref="A1:T16"/>
  <sheetViews>
    <sheetView zoomScaleNormal="100" workbookViewId="0">
      <selection activeCell="H4" sqref="H4"/>
    </sheetView>
  </sheetViews>
  <sheetFormatPr baseColWidth="10" defaultRowHeight="15"/>
  <cols>
    <col min="1" max="1" width="8" style="9" customWidth="1"/>
    <col min="2" max="2" width="12" style="1" customWidth="1"/>
    <col min="3" max="4" width="4.7109375" style="1" customWidth="1"/>
    <col min="5" max="5" width="6.28515625" style="6" customWidth="1"/>
    <col min="6" max="6" width="35.7109375" style="6" customWidth="1"/>
    <col min="7" max="7" width="15.28515625" style="6" bestFit="1" customWidth="1"/>
    <col min="8" max="8" width="72.140625" style="6" bestFit="1" customWidth="1"/>
    <col min="9" max="9" width="18.140625" style="1" bestFit="1" customWidth="1"/>
    <col min="10" max="10" width="8" style="1" bestFit="1" customWidth="1"/>
    <col min="11" max="11" width="11.140625" style="1" bestFit="1" customWidth="1"/>
    <col min="12" max="12" width="13.7109375" style="1" bestFit="1" customWidth="1"/>
    <col min="13" max="13" width="9.42578125" style="1" bestFit="1" customWidth="1"/>
    <col min="14" max="14" width="2.85546875" style="1" customWidth="1"/>
    <col min="15" max="16" width="12" style="1" customWidth="1"/>
    <col min="17" max="17" width="17.85546875" style="1" customWidth="1"/>
    <col min="18" max="18" width="11.42578125" style="1"/>
    <col min="19" max="19" width="15.42578125" style="1" bestFit="1" customWidth="1"/>
    <col min="20" max="21" width="14.42578125" style="1" bestFit="1" customWidth="1"/>
    <col min="22" max="16384" width="11.42578125" style="1"/>
  </cols>
  <sheetData>
    <row r="1" spans="1:20" ht="11.25" customHeight="1">
      <c r="A1" s="35" t="s">
        <v>15</v>
      </c>
    </row>
    <row r="2" spans="1:20" ht="9" customHeight="1"/>
    <row r="3" spans="1:20" ht="8.25" customHeight="1"/>
    <row r="4" spans="1:20">
      <c r="E4" s="7" t="s">
        <v>208</v>
      </c>
      <c r="F4" s="7"/>
      <c r="G4" s="7"/>
      <c r="H4" s="7"/>
    </row>
    <row r="5" spans="1:20">
      <c r="E5" s="7"/>
      <c r="F5" s="7"/>
      <c r="G5" s="7"/>
      <c r="H5" s="7"/>
    </row>
    <row r="6" spans="1:20">
      <c r="E6" s="7"/>
    </row>
    <row r="7" spans="1:20">
      <c r="E7" s="7"/>
      <c r="F7" s="156" t="s">
        <v>178</v>
      </c>
      <c r="G7" s="156" t="s">
        <v>361</v>
      </c>
      <c r="H7" s="156" t="s">
        <v>362</v>
      </c>
      <c r="R7" s="10"/>
      <c r="S7" s="10"/>
      <c r="T7" s="10"/>
    </row>
    <row r="8" spans="1:20">
      <c r="E8" s="7"/>
      <c r="F8" s="218" t="s">
        <v>360</v>
      </c>
      <c r="G8" s="255">
        <f>'FuenteDE B. ESF Presup (P)'!AB21</f>
        <v>3.1595650581348063E-2</v>
      </c>
      <c r="H8" s="271" t="s">
        <v>363</v>
      </c>
    </row>
    <row r="9" spans="1:20">
      <c r="E9" s="7"/>
      <c r="F9" s="218" t="s">
        <v>364</v>
      </c>
      <c r="G9" s="255">
        <f>TIRPrestamoACorto!C11</f>
        <v>2.267658489268376E-2</v>
      </c>
      <c r="H9" s="272" t="s">
        <v>365</v>
      </c>
    </row>
    <row r="10" spans="1:20">
      <c r="E10" s="7"/>
      <c r="F10" s="158" t="s">
        <v>415</v>
      </c>
      <c r="G10" s="255">
        <f>'FuenteReporteTasaActiva BCRP'!T8/100</f>
        <v>2.3399999999999997E-2</v>
      </c>
      <c r="H10" s="273" t="s">
        <v>416</v>
      </c>
    </row>
    <row r="11" spans="1:20">
      <c r="E11" s="7"/>
    </row>
    <row r="13" spans="1:20">
      <c r="F13" s="6" t="s">
        <v>432</v>
      </c>
      <c r="G13" s="304">
        <f>SupuestoTipoDeCambioReal!L13</f>
        <v>-7.2254335260113489E-4</v>
      </c>
    </row>
    <row r="16" spans="1:20">
      <c r="F16" s="6" t="s">
        <v>433</v>
      </c>
      <c r="G16" s="304">
        <f>(1+G10)*(1+G13)-1</f>
        <v>2.2660549132948127E-2</v>
      </c>
    </row>
  </sheetData>
  <hyperlinks>
    <hyperlink ref="A1" location="Indice!A1" display="Índice" xr:uid="{374EEECE-B68D-4F82-B0D1-59751D5E9F1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8B5BA-2E41-4492-BFEB-847284180152}">
  <sheetPr>
    <tabColor rgb="FF00B050"/>
    <pageSetUpPr fitToPage="1"/>
  </sheetPr>
  <dimension ref="A1:IU54"/>
  <sheetViews>
    <sheetView zoomScale="90" zoomScaleNormal="90" workbookViewId="0">
      <pane xSplit="2" topLeftCell="C1" activePane="topRight" state="frozen"/>
      <selection activeCell="E61" sqref="E61"/>
      <selection pane="topRight" activeCell="S13" sqref="S13"/>
    </sheetView>
  </sheetViews>
  <sheetFormatPr baseColWidth="10" defaultColWidth="11.42578125" defaultRowHeight="11.25"/>
  <cols>
    <col min="1" max="1" width="0.7109375" style="173" customWidth="1"/>
    <col min="2" max="2" width="35.7109375" style="173" customWidth="1"/>
    <col min="3" max="3" width="11.5703125" style="173" customWidth="1"/>
    <col min="4" max="4" width="12.28515625" style="173" customWidth="1"/>
    <col min="5" max="5" width="15" style="173" customWidth="1"/>
    <col min="6" max="6" width="8.7109375" style="173" hidden="1" customWidth="1"/>
    <col min="7" max="10" width="9.5703125" style="173" hidden="1" customWidth="1"/>
    <col min="11" max="11" width="10.7109375" style="173" hidden="1" customWidth="1"/>
    <col min="12" max="12" width="9.5703125" style="173" hidden="1" customWidth="1"/>
    <col min="13" max="16" width="10.28515625" style="173" hidden="1" customWidth="1"/>
    <col min="17" max="17" width="12.7109375" style="173" customWidth="1"/>
    <col min="18" max="18" width="12" style="173" customWidth="1"/>
    <col min="19" max="20" width="11.42578125" style="173" customWidth="1"/>
    <col min="21" max="21" width="11.42578125" style="173"/>
    <col min="22" max="22" width="12.42578125" style="173" customWidth="1"/>
    <col min="23" max="16384" width="11.42578125" style="173"/>
  </cols>
  <sheetData>
    <row r="1" spans="1:255" ht="12.75" customHeight="1">
      <c r="B1" s="174" t="s">
        <v>219</v>
      </c>
      <c r="D1" s="176"/>
      <c r="E1" s="176"/>
      <c r="R1" s="176" t="s">
        <v>319</v>
      </c>
    </row>
    <row r="2" spans="1:255" ht="12.75" customHeight="1">
      <c r="B2" s="174" t="s">
        <v>221</v>
      </c>
      <c r="C2" s="221" t="s">
        <v>222</v>
      </c>
      <c r="E2" s="221"/>
    </row>
    <row r="3" spans="1:255" ht="12.75" customHeight="1">
      <c r="B3" s="174" t="s">
        <v>223</v>
      </c>
      <c r="C3" s="180" t="s">
        <v>224</v>
      </c>
      <c r="D3" s="221"/>
      <c r="E3" s="221"/>
    </row>
    <row r="4" spans="1:255" ht="12.75" customHeight="1">
      <c r="C4" s="183" t="s">
        <v>320</v>
      </c>
    </row>
    <row r="5" spans="1:255" ht="12.75" customHeight="1">
      <c r="C5" s="183" t="s">
        <v>226</v>
      </c>
      <c r="Q5" s="222"/>
    </row>
    <row r="6" spans="1:255" ht="5.0999999999999996" customHeight="1">
      <c r="B6" s="223"/>
    </row>
    <row r="7" spans="1:255" ht="19.899999999999999" customHeight="1">
      <c r="B7" s="185" t="s">
        <v>227</v>
      </c>
      <c r="C7" s="186" t="s">
        <v>228</v>
      </c>
      <c r="D7" s="186" t="s">
        <v>229</v>
      </c>
      <c r="E7" s="187" t="s">
        <v>230</v>
      </c>
      <c r="F7" s="308" t="s">
        <v>231</v>
      </c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10"/>
      <c r="R7" s="188" t="s">
        <v>232</v>
      </c>
      <c r="S7" s="188" t="s">
        <v>233</v>
      </c>
      <c r="T7" s="188" t="s">
        <v>234</v>
      </c>
    </row>
    <row r="8" spans="1:255" ht="12.75" customHeight="1">
      <c r="B8" s="224"/>
      <c r="C8" s="190" t="s">
        <v>235</v>
      </c>
      <c r="D8" s="190" t="s">
        <v>235</v>
      </c>
      <c r="E8" s="191" t="s">
        <v>236</v>
      </c>
      <c r="F8" s="192" t="s">
        <v>237</v>
      </c>
      <c r="G8" s="192" t="s">
        <v>238</v>
      </c>
      <c r="H8" s="192" t="s">
        <v>239</v>
      </c>
      <c r="I8" s="192" t="s">
        <v>240</v>
      </c>
      <c r="J8" s="192" t="s">
        <v>241</v>
      </c>
      <c r="K8" s="192" t="s">
        <v>242</v>
      </c>
      <c r="L8" s="193" t="s">
        <v>243</v>
      </c>
      <c r="M8" s="192" t="s">
        <v>244</v>
      </c>
      <c r="N8" s="192" t="s">
        <v>245</v>
      </c>
      <c r="O8" s="192" t="s">
        <v>246</v>
      </c>
      <c r="P8" s="192" t="s">
        <v>247</v>
      </c>
      <c r="Q8" s="194" t="s">
        <v>248</v>
      </c>
      <c r="R8" s="194" t="s">
        <v>249</v>
      </c>
      <c r="S8" s="194" t="s">
        <v>249</v>
      </c>
      <c r="T8" s="194" t="s">
        <v>249</v>
      </c>
    </row>
    <row r="9" spans="1:255" s="228" customFormat="1" ht="5.25" customHeight="1">
      <c r="A9" s="221"/>
      <c r="B9" s="225"/>
      <c r="C9" s="226"/>
      <c r="D9" s="226"/>
      <c r="E9" s="226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227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175"/>
      <c r="BS9" s="175"/>
      <c r="BT9" s="175"/>
      <c r="BU9" s="175"/>
      <c r="BV9" s="175"/>
      <c r="BW9" s="175"/>
      <c r="BX9" s="175"/>
      <c r="BY9" s="175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  <c r="CU9" s="175"/>
      <c r="CV9" s="175"/>
      <c r="CW9" s="175"/>
      <c r="CX9" s="175"/>
      <c r="CY9" s="175"/>
      <c r="CZ9" s="175"/>
      <c r="DA9" s="175"/>
      <c r="DB9" s="175"/>
      <c r="DC9" s="175"/>
      <c r="DD9" s="175"/>
      <c r="DE9" s="175"/>
      <c r="DF9" s="175"/>
      <c r="DG9" s="175"/>
      <c r="DH9" s="175"/>
      <c r="DI9" s="175"/>
      <c r="DJ9" s="175"/>
      <c r="DK9" s="175"/>
      <c r="DL9" s="175"/>
      <c r="DM9" s="175"/>
      <c r="DN9" s="175"/>
      <c r="DO9" s="175"/>
      <c r="DP9" s="175"/>
      <c r="DQ9" s="175"/>
      <c r="DR9" s="175"/>
      <c r="DS9" s="175"/>
      <c r="DT9" s="175"/>
      <c r="DU9" s="175"/>
      <c r="DV9" s="175"/>
      <c r="DW9" s="175"/>
      <c r="DX9" s="175"/>
      <c r="DY9" s="175"/>
      <c r="DZ9" s="175"/>
      <c r="EA9" s="175"/>
      <c r="EB9" s="175"/>
      <c r="EC9" s="175"/>
      <c r="ED9" s="175"/>
      <c r="EE9" s="175"/>
      <c r="EF9" s="175"/>
      <c r="EG9" s="175"/>
      <c r="EH9" s="175"/>
      <c r="EI9" s="175"/>
      <c r="EJ9" s="175"/>
      <c r="EK9" s="175"/>
      <c r="EL9" s="175"/>
      <c r="EM9" s="175"/>
      <c r="EN9" s="175"/>
      <c r="EO9" s="175"/>
      <c r="EP9" s="175"/>
      <c r="EQ9" s="175"/>
      <c r="ER9" s="175"/>
      <c r="ES9" s="175"/>
      <c r="ET9" s="175"/>
      <c r="EU9" s="175"/>
      <c r="EV9" s="175"/>
      <c r="EW9" s="175"/>
      <c r="EX9" s="175"/>
      <c r="EY9" s="175"/>
      <c r="EZ9" s="175"/>
      <c r="FA9" s="175"/>
      <c r="FB9" s="175"/>
      <c r="FC9" s="175"/>
      <c r="FD9" s="175"/>
      <c r="FE9" s="175"/>
      <c r="FF9" s="175"/>
      <c r="FG9" s="175"/>
      <c r="FH9" s="175"/>
      <c r="FI9" s="175"/>
      <c r="FJ9" s="175"/>
      <c r="FK9" s="175"/>
      <c r="FL9" s="175"/>
      <c r="FM9" s="175"/>
      <c r="FN9" s="175"/>
      <c r="FO9" s="175"/>
      <c r="FP9" s="175"/>
      <c r="FQ9" s="175"/>
      <c r="FR9" s="175"/>
      <c r="FS9" s="175"/>
      <c r="FT9" s="175"/>
      <c r="FU9" s="175"/>
      <c r="FV9" s="175"/>
      <c r="FW9" s="175"/>
      <c r="FX9" s="175"/>
      <c r="FY9" s="175"/>
      <c r="FZ9" s="175"/>
      <c r="GA9" s="175"/>
      <c r="GB9" s="175"/>
      <c r="GC9" s="175"/>
      <c r="GD9" s="175"/>
      <c r="GE9" s="175"/>
      <c r="GF9" s="175"/>
      <c r="GG9" s="175"/>
      <c r="GH9" s="175"/>
      <c r="GI9" s="175"/>
      <c r="GJ9" s="175"/>
      <c r="GK9" s="175"/>
      <c r="GL9" s="175"/>
      <c r="GM9" s="175"/>
      <c r="GN9" s="175"/>
      <c r="GO9" s="175"/>
      <c r="GP9" s="175"/>
      <c r="GQ9" s="175"/>
      <c r="GR9" s="175"/>
      <c r="GS9" s="175"/>
      <c r="GT9" s="175"/>
      <c r="GU9" s="175"/>
      <c r="GV9" s="175"/>
      <c r="GW9" s="175"/>
      <c r="GX9" s="175"/>
      <c r="GY9" s="175"/>
      <c r="GZ9" s="175"/>
      <c r="HA9" s="175"/>
      <c r="HB9" s="175"/>
      <c r="HC9" s="175"/>
      <c r="HD9" s="175"/>
      <c r="HE9" s="175"/>
      <c r="HF9" s="175"/>
      <c r="HG9" s="175"/>
      <c r="HH9" s="175"/>
      <c r="HI9" s="175"/>
      <c r="HJ9" s="175"/>
      <c r="HK9" s="175"/>
      <c r="HL9" s="175"/>
      <c r="HM9" s="175"/>
      <c r="HN9" s="175"/>
      <c r="HO9" s="175"/>
      <c r="HP9" s="175"/>
      <c r="HQ9" s="175"/>
      <c r="HR9" s="175"/>
      <c r="HS9" s="175"/>
      <c r="HT9" s="175"/>
      <c r="HU9" s="175"/>
      <c r="HV9" s="175"/>
      <c r="HW9" s="175"/>
      <c r="HX9" s="175"/>
      <c r="HY9" s="175"/>
      <c r="HZ9" s="175"/>
      <c r="IA9" s="175"/>
      <c r="IB9" s="175"/>
      <c r="IC9" s="175"/>
      <c r="ID9" s="175"/>
      <c r="IE9" s="175"/>
      <c r="IF9" s="175"/>
      <c r="IG9" s="175"/>
      <c r="IH9" s="175"/>
      <c r="II9" s="175"/>
      <c r="IJ9" s="175"/>
      <c r="IK9" s="175"/>
      <c r="IL9" s="175"/>
      <c r="IM9" s="175"/>
      <c r="IN9" s="175"/>
      <c r="IO9" s="175"/>
      <c r="IP9" s="175"/>
      <c r="IQ9" s="175"/>
      <c r="IR9" s="175"/>
      <c r="IS9" s="175"/>
      <c r="IT9" s="175"/>
      <c r="IU9" s="175"/>
    </row>
    <row r="10" spans="1:255">
      <c r="A10" s="221"/>
      <c r="B10" s="229" t="s">
        <v>321</v>
      </c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</row>
    <row r="11" spans="1:255">
      <c r="A11" s="221"/>
      <c r="B11" s="230" t="s">
        <v>322</v>
      </c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</row>
    <row r="12" spans="1:255">
      <c r="B12" s="232" t="s">
        <v>323</v>
      </c>
      <c r="C12" s="233">
        <v>402757291</v>
      </c>
      <c r="D12" s="233">
        <v>430373357</v>
      </c>
      <c r="E12" s="233">
        <v>161337887</v>
      </c>
      <c r="F12" s="233">
        <v>12430986</v>
      </c>
      <c r="G12" s="233">
        <v>25618057</v>
      </c>
      <c r="H12" s="233">
        <v>39641386</v>
      </c>
      <c r="I12" s="233">
        <v>55399641</v>
      </c>
      <c r="J12" s="233">
        <v>72291065</v>
      </c>
      <c r="K12" s="233">
        <v>89840382</v>
      </c>
      <c r="L12" s="233">
        <v>109426743</v>
      </c>
      <c r="M12" s="233">
        <v>130556321</v>
      </c>
      <c r="N12" s="233">
        <v>152895634</v>
      </c>
      <c r="O12" s="233">
        <v>175495806</v>
      </c>
      <c r="P12" s="233">
        <v>198798450</v>
      </c>
      <c r="Q12" s="233">
        <v>222168035</v>
      </c>
      <c r="R12" s="233">
        <v>307860360</v>
      </c>
      <c r="S12" s="233">
        <v>362550603</v>
      </c>
      <c r="T12" s="233">
        <v>417064886</v>
      </c>
      <c r="V12" s="234"/>
      <c r="W12" s="234"/>
    </row>
    <row r="13" spans="1:255" ht="22.5">
      <c r="B13" s="235" t="s">
        <v>324</v>
      </c>
      <c r="C13" s="236">
        <f t="shared" ref="C13:T13" si="0">SUM(C11:C12)</f>
        <v>402757291</v>
      </c>
      <c r="D13" s="236">
        <f t="shared" si="0"/>
        <v>430373357</v>
      </c>
      <c r="E13" s="236">
        <f t="shared" si="0"/>
        <v>161337887</v>
      </c>
      <c r="F13" s="236">
        <f t="shared" si="0"/>
        <v>12430986</v>
      </c>
      <c r="G13" s="236">
        <f t="shared" si="0"/>
        <v>25618057</v>
      </c>
      <c r="H13" s="236">
        <f t="shared" si="0"/>
        <v>39641386</v>
      </c>
      <c r="I13" s="236">
        <f t="shared" si="0"/>
        <v>55399641</v>
      </c>
      <c r="J13" s="236">
        <f t="shared" si="0"/>
        <v>72291065</v>
      </c>
      <c r="K13" s="236">
        <f t="shared" si="0"/>
        <v>89840382</v>
      </c>
      <c r="L13" s="236">
        <f t="shared" si="0"/>
        <v>109426743</v>
      </c>
      <c r="M13" s="236">
        <f t="shared" si="0"/>
        <v>130556321</v>
      </c>
      <c r="N13" s="236">
        <f t="shared" si="0"/>
        <v>152895634</v>
      </c>
      <c r="O13" s="236">
        <f t="shared" si="0"/>
        <v>175495806</v>
      </c>
      <c r="P13" s="236">
        <f t="shared" si="0"/>
        <v>198798450</v>
      </c>
      <c r="Q13" s="236">
        <f t="shared" si="0"/>
        <v>222168035</v>
      </c>
      <c r="R13" s="236">
        <f t="shared" si="0"/>
        <v>307860360</v>
      </c>
      <c r="S13" s="236">
        <f t="shared" si="0"/>
        <v>362550603</v>
      </c>
      <c r="T13" s="236">
        <f t="shared" si="0"/>
        <v>417064886</v>
      </c>
      <c r="V13" s="234"/>
      <c r="W13" s="234"/>
    </row>
    <row r="14" spans="1:255">
      <c r="B14" s="237" t="s">
        <v>325</v>
      </c>
      <c r="C14" s="238">
        <v>292041909</v>
      </c>
      <c r="D14" s="238">
        <v>322395370</v>
      </c>
      <c r="E14" s="238">
        <v>264543479</v>
      </c>
      <c r="F14" s="238">
        <v>23748278</v>
      </c>
      <c r="G14" s="238">
        <v>53712280</v>
      </c>
      <c r="H14" s="238">
        <v>77860379</v>
      </c>
      <c r="I14" s="238">
        <v>101992832</v>
      </c>
      <c r="J14" s="238">
        <v>126810491</v>
      </c>
      <c r="K14" s="238">
        <v>152817092</v>
      </c>
      <c r="L14" s="238">
        <v>177942035</v>
      </c>
      <c r="M14" s="238">
        <v>203340481</v>
      </c>
      <c r="N14" s="238">
        <v>228526712</v>
      </c>
      <c r="O14" s="238">
        <v>253884649</v>
      </c>
      <c r="P14" s="238">
        <v>279372303</v>
      </c>
      <c r="Q14" s="238">
        <v>307910709</v>
      </c>
      <c r="R14" s="238">
        <v>339951404</v>
      </c>
      <c r="S14" s="238">
        <v>365208514</v>
      </c>
      <c r="T14" s="238">
        <v>378968128</v>
      </c>
      <c r="V14" s="234"/>
      <c r="W14" s="234"/>
    </row>
    <row r="15" spans="1:255">
      <c r="B15" s="235" t="s">
        <v>326</v>
      </c>
      <c r="C15" s="236">
        <f t="shared" ref="C15:T15" si="1">C13-C14</f>
        <v>110715382</v>
      </c>
      <c r="D15" s="236">
        <f t="shared" si="1"/>
        <v>107977987</v>
      </c>
      <c r="E15" s="236">
        <f t="shared" si="1"/>
        <v>-103205592</v>
      </c>
      <c r="F15" s="236">
        <f t="shared" si="1"/>
        <v>-11317292</v>
      </c>
      <c r="G15" s="236">
        <f t="shared" si="1"/>
        <v>-28094223</v>
      </c>
      <c r="H15" s="236">
        <f t="shared" si="1"/>
        <v>-38218993</v>
      </c>
      <c r="I15" s="236">
        <f t="shared" si="1"/>
        <v>-46593191</v>
      </c>
      <c r="J15" s="236">
        <f t="shared" si="1"/>
        <v>-54519426</v>
      </c>
      <c r="K15" s="236">
        <f t="shared" si="1"/>
        <v>-62976710</v>
      </c>
      <c r="L15" s="236">
        <f t="shared" si="1"/>
        <v>-68515292</v>
      </c>
      <c r="M15" s="236">
        <f t="shared" si="1"/>
        <v>-72784160</v>
      </c>
      <c r="N15" s="236">
        <f t="shared" si="1"/>
        <v>-75631078</v>
      </c>
      <c r="O15" s="236">
        <f t="shared" si="1"/>
        <v>-78388843</v>
      </c>
      <c r="P15" s="236">
        <f t="shared" si="1"/>
        <v>-80573853</v>
      </c>
      <c r="Q15" s="236">
        <f t="shared" si="1"/>
        <v>-85742674</v>
      </c>
      <c r="R15" s="236">
        <f t="shared" si="1"/>
        <v>-32091044</v>
      </c>
      <c r="S15" s="236">
        <f t="shared" si="1"/>
        <v>-2657911</v>
      </c>
      <c r="T15" s="236">
        <f t="shared" si="1"/>
        <v>38096758</v>
      </c>
      <c r="V15" s="234"/>
      <c r="W15" s="234"/>
    </row>
    <row r="16" spans="1:255">
      <c r="B16" s="239" t="s">
        <v>327</v>
      </c>
      <c r="C16" s="240">
        <v>0</v>
      </c>
      <c r="D16" s="240">
        <v>0</v>
      </c>
      <c r="E16" s="240">
        <v>0</v>
      </c>
      <c r="F16" s="240">
        <v>0</v>
      </c>
      <c r="G16" s="240">
        <v>0</v>
      </c>
      <c r="H16" s="240">
        <v>0</v>
      </c>
      <c r="I16" s="240">
        <v>0</v>
      </c>
      <c r="J16" s="240">
        <v>0</v>
      </c>
      <c r="K16" s="240">
        <v>0</v>
      </c>
      <c r="L16" s="240">
        <v>0</v>
      </c>
      <c r="M16" s="240">
        <v>0</v>
      </c>
      <c r="N16" s="240">
        <v>0</v>
      </c>
      <c r="O16" s="240">
        <v>0</v>
      </c>
      <c r="P16" s="240">
        <v>0</v>
      </c>
      <c r="Q16" s="240">
        <v>0</v>
      </c>
      <c r="R16" s="240"/>
      <c r="S16" s="240"/>
      <c r="T16" s="240"/>
      <c r="V16" s="234"/>
      <c r="W16" s="234"/>
    </row>
    <row r="17" spans="1:23">
      <c r="B17" s="239" t="s">
        <v>328</v>
      </c>
      <c r="C17" s="240">
        <v>46121029</v>
      </c>
      <c r="D17" s="240">
        <v>45719289</v>
      </c>
      <c r="E17" s="240">
        <v>36006327</v>
      </c>
      <c r="F17" s="240">
        <v>2638698</v>
      </c>
      <c r="G17" s="240">
        <v>5968032</v>
      </c>
      <c r="H17" s="240">
        <v>8651154</v>
      </c>
      <c r="I17" s="240">
        <v>11332538</v>
      </c>
      <c r="J17" s="240">
        <v>14090056</v>
      </c>
      <c r="K17" s="240">
        <v>16979678</v>
      </c>
      <c r="L17" s="240">
        <v>19771338</v>
      </c>
      <c r="M17" s="240">
        <v>22593388</v>
      </c>
      <c r="N17" s="240">
        <v>25391858</v>
      </c>
      <c r="O17" s="240">
        <v>28209407</v>
      </c>
      <c r="P17" s="240">
        <v>31041369</v>
      </c>
      <c r="Q17" s="240">
        <v>34212303</v>
      </c>
      <c r="R17" s="240">
        <v>37772378</v>
      </c>
      <c r="S17" s="240">
        <v>40578724</v>
      </c>
      <c r="T17" s="240">
        <v>42107570</v>
      </c>
      <c r="V17" s="234"/>
      <c r="W17" s="234"/>
    </row>
    <row r="18" spans="1:23" ht="22.5">
      <c r="A18" s="221"/>
      <c r="B18" s="239" t="s">
        <v>329</v>
      </c>
      <c r="C18" s="240"/>
      <c r="D18" s="240"/>
      <c r="E18" s="240">
        <v>0</v>
      </c>
      <c r="F18" s="240"/>
      <c r="G18" s="240">
        <v>0</v>
      </c>
      <c r="H18" s="240">
        <v>0</v>
      </c>
      <c r="I18" s="240">
        <v>0</v>
      </c>
      <c r="J18" s="240">
        <v>0</v>
      </c>
      <c r="K18" s="240">
        <v>0</v>
      </c>
      <c r="L18" s="240">
        <v>0</v>
      </c>
      <c r="M18" s="240">
        <v>0</v>
      </c>
      <c r="N18" s="240">
        <v>0</v>
      </c>
      <c r="O18" s="240">
        <v>0</v>
      </c>
      <c r="P18" s="240">
        <v>0</v>
      </c>
      <c r="Q18" s="240">
        <v>0</v>
      </c>
      <c r="R18" s="240">
        <v>0</v>
      </c>
      <c r="S18" s="240">
        <v>0</v>
      </c>
      <c r="T18" s="240">
        <v>0</v>
      </c>
      <c r="V18" s="234"/>
      <c r="W18" s="234"/>
    </row>
    <row r="19" spans="1:23">
      <c r="A19" s="221"/>
      <c r="B19" s="239" t="s">
        <v>330</v>
      </c>
      <c r="C19" s="240">
        <v>22982010</v>
      </c>
      <c r="D19" s="240">
        <v>18472703</v>
      </c>
      <c r="E19" s="240">
        <v>6603606</v>
      </c>
      <c r="F19" s="240">
        <v>472880</v>
      </c>
      <c r="G19" s="240">
        <v>957800</v>
      </c>
      <c r="H19" s="240">
        <v>1502358</v>
      </c>
      <c r="I19" s="240">
        <v>2129101</v>
      </c>
      <c r="J19" s="240">
        <v>2809794</v>
      </c>
      <c r="K19" s="240">
        <v>3543387</v>
      </c>
      <c r="L19" s="240">
        <v>4345497</v>
      </c>
      <c r="M19" s="240">
        <v>5193814</v>
      </c>
      <c r="N19" s="240">
        <v>6048389</v>
      </c>
      <c r="O19" s="240">
        <v>6961121</v>
      </c>
      <c r="P19" s="240">
        <v>7860746</v>
      </c>
      <c r="Q19" s="240">
        <v>8783593</v>
      </c>
      <c r="R19" s="240">
        <v>10361795</v>
      </c>
      <c r="S19" s="240">
        <v>10619870</v>
      </c>
      <c r="T19" s="240">
        <v>10885017</v>
      </c>
      <c r="V19" s="234"/>
      <c r="W19" s="234"/>
    </row>
    <row r="20" spans="1:23">
      <c r="B20" s="239" t="s">
        <v>331</v>
      </c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V20" s="234"/>
      <c r="W20" s="234"/>
    </row>
    <row r="21" spans="1:23">
      <c r="B21" s="235" t="s">
        <v>332</v>
      </c>
      <c r="C21" s="236">
        <f t="shared" ref="C21:T21" si="2">C15-C16-C17+C18+C19-C20</f>
        <v>87576363</v>
      </c>
      <c r="D21" s="236">
        <f t="shared" si="2"/>
        <v>80731401</v>
      </c>
      <c r="E21" s="236">
        <f t="shared" si="2"/>
        <v>-132608313</v>
      </c>
      <c r="F21" s="236">
        <f t="shared" si="2"/>
        <v>-13483110</v>
      </c>
      <c r="G21" s="236">
        <f t="shared" si="2"/>
        <v>-33104455</v>
      </c>
      <c r="H21" s="236">
        <f t="shared" si="2"/>
        <v>-45367789</v>
      </c>
      <c r="I21" s="236">
        <f t="shared" si="2"/>
        <v>-55796628</v>
      </c>
      <c r="J21" s="236">
        <f t="shared" si="2"/>
        <v>-65799688</v>
      </c>
      <c r="K21" s="236">
        <f t="shared" si="2"/>
        <v>-76413001</v>
      </c>
      <c r="L21" s="236">
        <f t="shared" si="2"/>
        <v>-83941133</v>
      </c>
      <c r="M21" s="236">
        <f t="shared" si="2"/>
        <v>-90183734</v>
      </c>
      <c r="N21" s="236">
        <f t="shared" si="2"/>
        <v>-94974547</v>
      </c>
      <c r="O21" s="236">
        <f t="shared" si="2"/>
        <v>-99637129</v>
      </c>
      <c r="P21" s="236">
        <f t="shared" si="2"/>
        <v>-103754476</v>
      </c>
      <c r="Q21" s="236">
        <f t="shared" si="2"/>
        <v>-111171384</v>
      </c>
      <c r="R21" s="236">
        <f t="shared" si="2"/>
        <v>-59501627</v>
      </c>
      <c r="S21" s="236">
        <f t="shared" si="2"/>
        <v>-32616765</v>
      </c>
      <c r="T21" s="236">
        <f t="shared" si="2"/>
        <v>6874205</v>
      </c>
      <c r="V21" s="234"/>
      <c r="W21" s="234"/>
    </row>
    <row r="22" spans="1:23">
      <c r="B22" s="239" t="s">
        <v>333</v>
      </c>
      <c r="C22" s="240">
        <v>10116026</v>
      </c>
      <c r="D22" s="240">
        <v>10135886</v>
      </c>
      <c r="E22" s="240">
        <v>5359417</v>
      </c>
      <c r="F22" s="240">
        <v>30000</v>
      </c>
      <c r="G22" s="240">
        <v>62000</v>
      </c>
      <c r="H22" s="240">
        <v>95500</v>
      </c>
      <c r="I22" s="240">
        <v>130500</v>
      </c>
      <c r="J22" s="240">
        <v>172500</v>
      </c>
      <c r="K22" s="240">
        <v>224500</v>
      </c>
      <c r="L22" s="240">
        <v>289500</v>
      </c>
      <c r="M22" s="240">
        <v>371500</v>
      </c>
      <c r="N22" s="240">
        <v>468500</v>
      </c>
      <c r="O22" s="240">
        <v>578500</v>
      </c>
      <c r="P22" s="240">
        <v>710500</v>
      </c>
      <c r="Q22" s="240">
        <v>860500</v>
      </c>
      <c r="R22" s="240">
        <v>1118650</v>
      </c>
      <c r="S22" s="240">
        <v>1677975</v>
      </c>
      <c r="T22" s="240">
        <v>2516962</v>
      </c>
      <c r="V22" s="234"/>
      <c r="W22" s="234"/>
    </row>
    <row r="23" spans="1:23">
      <c r="B23" s="239" t="s">
        <v>334</v>
      </c>
      <c r="C23" s="240">
        <v>3375272</v>
      </c>
      <c r="D23" s="240">
        <v>2523843</v>
      </c>
      <c r="E23" s="240">
        <v>6954455</v>
      </c>
      <c r="F23" s="240">
        <v>579538</v>
      </c>
      <c r="G23" s="240">
        <v>1159076</v>
      </c>
      <c r="H23" s="240">
        <v>1738614</v>
      </c>
      <c r="I23" s="240">
        <v>2318152</v>
      </c>
      <c r="J23" s="240">
        <v>2897690</v>
      </c>
      <c r="K23" s="240">
        <v>3477228</v>
      </c>
      <c r="L23" s="240">
        <v>4056766</v>
      </c>
      <c r="M23" s="240">
        <v>4636304</v>
      </c>
      <c r="N23" s="240">
        <v>5215842</v>
      </c>
      <c r="O23" s="240">
        <v>5795380</v>
      </c>
      <c r="P23" s="240">
        <v>6374918</v>
      </c>
      <c r="Q23" s="240">
        <v>6954456</v>
      </c>
      <c r="R23" s="240">
        <v>6954456</v>
      </c>
      <c r="S23" s="240">
        <v>6954456</v>
      </c>
      <c r="T23" s="240">
        <v>6954456</v>
      </c>
      <c r="V23" s="234"/>
      <c r="W23" s="234"/>
    </row>
    <row r="24" spans="1:23">
      <c r="B24" s="239" t="s">
        <v>335</v>
      </c>
      <c r="C24" s="240">
        <v>475981</v>
      </c>
      <c r="D24" s="240">
        <v>492420</v>
      </c>
      <c r="E24" s="240">
        <v>493018</v>
      </c>
      <c r="F24" s="240">
        <v>12500</v>
      </c>
      <c r="G24" s="240">
        <v>437000</v>
      </c>
      <c r="H24" s="240">
        <v>452000</v>
      </c>
      <c r="I24" s="240">
        <v>467000</v>
      </c>
      <c r="J24" s="240">
        <v>1010274</v>
      </c>
      <c r="K24" s="240">
        <v>1078321</v>
      </c>
      <c r="L24" s="240">
        <v>1171142</v>
      </c>
      <c r="M24" s="240">
        <v>2189737</v>
      </c>
      <c r="N24" s="240">
        <v>2330348</v>
      </c>
      <c r="O24" s="240">
        <v>2487475</v>
      </c>
      <c r="P24" s="240">
        <v>2657005</v>
      </c>
      <c r="Q24" s="240">
        <v>2834820</v>
      </c>
      <c r="R24" s="240">
        <v>3221283</v>
      </c>
      <c r="S24" s="240">
        <v>3203500</v>
      </c>
      <c r="T24" s="240">
        <v>4284900</v>
      </c>
      <c r="V24" s="234"/>
      <c r="W24" s="234"/>
    </row>
    <row r="25" spans="1:23">
      <c r="B25" s="239" t="s">
        <v>336</v>
      </c>
      <c r="C25" s="240">
        <v>3636576</v>
      </c>
      <c r="D25" s="240">
        <v>8378296</v>
      </c>
      <c r="E25" s="240">
        <v>3029692</v>
      </c>
      <c r="F25" s="240">
        <v>252474</v>
      </c>
      <c r="G25" s="240">
        <v>504948</v>
      </c>
      <c r="H25" s="240">
        <v>757422</v>
      </c>
      <c r="I25" s="240">
        <v>1009896</v>
      </c>
      <c r="J25" s="240">
        <v>1262370</v>
      </c>
      <c r="K25" s="240">
        <v>1514844</v>
      </c>
      <c r="L25" s="240">
        <v>1767318</v>
      </c>
      <c r="M25" s="240">
        <v>2019792</v>
      </c>
      <c r="N25" s="240">
        <v>2272266</v>
      </c>
      <c r="O25" s="240">
        <v>2524740</v>
      </c>
      <c r="P25" s="240">
        <v>2777214</v>
      </c>
      <c r="Q25" s="240">
        <v>3029688</v>
      </c>
      <c r="R25" s="240">
        <v>3029688</v>
      </c>
      <c r="S25" s="240">
        <v>3029688</v>
      </c>
      <c r="T25" s="240">
        <v>3029688</v>
      </c>
      <c r="V25" s="234"/>
      <c r="W25" s="234"/>
    </row>
    <row r="26" spans="1:23" ht="33.75">
      <c r="B26" s="239" t="s">
        <v>337</v>
      </c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V26" s="234"/>
      <c r="W26" s="234"/>
    </row>
    <row r="27" spans="1:23" ht="45">
      <c r="B27" s="232" t="s">
        <v>338</v>
      </c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V27" s="234"/>
      <c r="W27" s="234"/>
    </row>
    <row r="28" spans="1:23" ht="22.5">
      <c r="B28" s="235" t="s">
        <v>339</v>
      </c>
      <c r="C28" s="236">
        <f t="shared" ref="C28:T28" si="3">+C21+C22+C23+C26+C27-C24-C25</f>
        <v>96955104</v>
      </c>
      <c r="D28" s="236">
        <f t="shared" si="3"/>
        <v>84520414</v>
      </c>
      <c r="E28" s="236">
        <f t="shared" si="3"/>
        <v>-123817151</v>
      </c>
      <c r="F28" s="236">
        <f t="shared" si="3"/>
        <v>-13138546</v>
      </c>
      <c r="G28" s="236">
        <f t="shared" si="3"/>
        <v>-32825327</v>
      </c>
      <c r="H28" s="236">
        <f t="shared" si="3"/>
        <v>-44743097</v>
      </c>
      <c r="I28" s="236">
        <f t="shared" si="3"/>
        <v>-54824872</v>
      </c>
      <c r="J28" s="236">
        <f t="shared" si="3"/>
        <v>-65002142</v>
      </c>
      <c r="K28" s="236">
        <f t="shared" si="3"/>
        <v>-75304438</v>
      </c>
      <c r="L28" s="236">
        <f t="shared" si="3"/>
        <v>-82533327</v>
      </c>
      <c r="M28" s="236">
        <f t="shared" si="3"/>
        <v>-89385459</v>
      </c>
      <c r="N28" s="236">
        <f t="shared" si="3"/>
        <v>-93892819</v>
      </c>
      <c r="O28" s="236">
        <f t="shared" si="3"/>
        <v>-98275464</v>
      </c>
      <c r="P28" s="236">
        <f t="shared" si="3"/>
        <v>-102103277</v>
      </c>
      <c r="Q28" s="236">
        <f t="shared" si="3"/>
        <v>-109220936</v>
      </c>
      <c r="R28" s="236">
        <f t="shared" si="3"/>
        <v>-57679492</v>
      </c>
      <c r="S28" s="236">
        <f t="shared" si="3"/>
        <v>-30217522</v>
      </c>
      <c r="T28" s="236">
        <f t="shared" si="3"/>
        <v>9031035</v>
      </c>
      <c r="V28" s="234"/>
      <c r="W28" s="234"/>
    </row>
    <row r="29" spans="1:23">
      <c r="B29" s="230" t="s">
        <v>340</v>
      </c>
      <c r="C29" s="241">
        <v>31644294</v>
      </c>
      <c r="D29" s="241">
        <v>26688533</v>
      </c>
      <c r="E29" s="241">
        <v>39476060</v>
      </c>
      <c r="F29" s="241">
        <v>3875871</v>
      </c>
      <c r="G29" s="241">
        <v>9683471</v>
      </c>
      <c r="H29" s="241">
        <v>13199214</v>
      </c>
      <c r="I29" s="241">
        <v>16173337</v>
      </c>
      <c r="J29" s="241">
        <v>19175632</v>
      </c>
      <c r="K29" s="241">
        <v>22214809</v>
      </c>
      <c r="L29" s="241">
        <v>24347331</v>
      </c>
      <c r="M29" s="241">
        <v>26368710</v>
      </c>
      <c r="N29" s="241">
        <v>27698382</v>
      </c>
      <c r="O29" s="241">
        <v>28991262</v>
      </c>
      <c r="P29" s="241">
        <v>30120467</v>
      </c>
      <c r="Q29" s="241">
        <v>32228900</v>
      </c>
      <c r="R29" s="241">
        <v>17015450</v>
      </c>
      <c r="S29" s="241">
        <v>8914169</v>
      </c>
      <c r="T29" s="241">
        <v>-2664155</v>
      </c>
      <c r="V29" s="234"/>
      <c r="W29" s="234"/>
    </row>
    <row r="30" spans="1:23" ht="22.5">
      <c r="B30" s="235" t="s">
        <v>341</v>
      </c>
      <c r="C30" s="236">
        <f t="shared" ref="C30:D30" si="4">C28-C29</f>
        <v>65310810</v>
      </c>
      <c r="D30" s="236">
        <f t="shared" si="4"/>
        <v>57831881</v>
      </c>
      <c r="E30" s="236">
        <f t="shared" ref="E30" si="5">SUM(E28:E29)</f>
        <v>-84341091</v>
      </c>
      <c r="F30" s="236">
        <f>SUM(F28:F29)</f>
        <v>-9262675</v>
      </c>
      <c r="G30" s="236">
        <f t="shared" ref="G30:T30" si="6">SUM(G28:G29)</f>
        <v>-23141856</v>
      </c>
      <c r="H30" s="236">
        <f t="shared" si="6"/>
        <v>-31543883</v>
      </c>
      <c r="I30" s="236">
        <f t="shared" si="6"/>
        <v>-38651535</v>
      </c>
      <c r="J30" s="236">
        <f t="shared" si="6"/>
        <v>-45826510</v>
      </c>
      <c r="K30" s="236">
        <f t="shared" si="6"/>
        <v>-53089629</v>
      </c>
      <c r="L30" s="236">
        <f t="shared" si="6"/>
        <v>-58185996</v>
      </c>
      <c r="M30" s="236">
        <f t="shared" si="6"/>
        <v>-63016749</v>
      </c>
      <c r="N30" s="236">
        <f t="shared" si="6"/>
        <v>-66194437</v>
      </c>
      <c r="O30" s="236">
        <f t="shared" si="6"/>
        <v>-69284202</v>
      </c>
      <c r="P30" s="236">
        <f t="shared" si="6"/>
        <v>-71982810</v>
      </c>
      <c r="Q30" s="236">
        <f t="shared" si="6"/>
        <v>-76992036</v>
      </c>
      <c r="R30" s="236">
        <f t="shared" si="6"/>
        <v>-40664042</v>
      </c>
      <c r="S30" s="236">
        <f t="shared" si="6"/>
        <v>-21303353</v>
      </c>
      <c r="T30" s="236">
        <f t="shared" si="6"/>
        <v>6366880</v>
      </c>
      <c r="V30" s="234"/>
      <c r="W30" s="234"/>
    </row>
    <row r="31" spans="1:23" ht="33.75">
      <c r="B31" s="232" t="s">
        <v>342</v>
      </c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</row>
    <row r="32" spans="1:23">
      <c r="B32" s="235" t="s">
        <v>343</v>
      </c>
      <c r="C32" s="236">
        <f t="shared" ref="C32:T32" si="7">C30+C31</f>
        <v>65310810</v>
      </c>
      <c r="D32" s="236">
        <f t="shared" si="7"/>
        <v>57831881</v>
      </c>
      <c r="E32" s="236">
        <f t="shared" si="7"/>
        <v>-84341091</v>
      </c>
      <c r="F32" s="236">
        <f t="shared" si="7"/>
        <v>-9262675</v>
      </c>
      <c r="G32" s="236">
        <f t="shared" si="7"/>
        <v>-23141856</v>
      </c>
      <c r="H32" s="236">
        <f t="shared" si="7"/>
        <v>-31543883</v>
      </c>
      <c r="I32" s="236">
        <f t="shared" si="7"/>
        <v>-38651535</v>
      </c>
      <c r="J32" s="236">
        <f t="shared" si="7"/>
        <v>-45826510</v>
      </c>
      <c r="K32" s="236">
        <f t="shared" si="7"/>
        <v>-53089629</v>
      </c>
      <c r="L32" s="236">
        <f t="shared" si="7"/>
        <v>-58185996</v>
      </c>
      <c r="M32" s="236">
        <f t="shared" si="7"/>
        <v>-63016749</v>
      </c>
      <c r="N32" s="236">
        <f t="shared" si="7"/>
        <v>-66194437</v>
      </c>
      <c r="O32" s="236">
        <f t="shared" si="7"/>
        <v>-69284202</v>
      </c>
      <c r="P32" s="236">
        <f t="shared" si="7"/>
        <v>-71982810</v>
      </c>
      <c r="Q32" s="236">
        <f t="shared" si="7"/>
        <v>-76992036</v>
      </c>
      <c r="R32" s="236">
        <f t="shared" si="7"/>
        <v>-40664042</v>
      </c>
      <c r="S32" s="236">
        <f t="shared" si="7"/>
        <v>-21303353</v>
      </c>
      <c r="T32" s="236">
        <f t="shared" si="7"/>
        <v>6366880</v>
      </c>
    </row>
    <row r="33" spans="2:20">
      <c r="B33" s="243"/>
      <c r="E33" s="184"/>
      <c r="Q33" s="184"/>
    </row>
    <row r="34" spans="2:20">
      <c r="B34" s="244" t="s">
        <v>344</v>
      </c>
      <c r="E34" s="184"/>
      <c r="Q34" s="184"/>
    </row>
    <row r="35" spans="2:20">
      <c r="B35" s="245" t="s">
        <v>345</v>
      </c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</row>
    <row r="36" spans="2:20">
      <c r="B36" s="245" t="s">
        <v>346</v>
      </c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</row>
    <row r="37" spans="2:20">
      <c r="B37" s="245" t="s">
        <v>347</v>
      </c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</row>
    <row r="38" spans="2:20">
      <c r="B38" s="244" t="s">
        <v>348</v>
      </c>
      <c r="C38" s="247">
        <f t="shared" ref="C38:T38" si="8">SUM(C35:C37)</f>
        <v>0</v>
      </c>
      <c r="D38" s="247">
        <f t="shared" si="8"/>
        <v>0</v>
      </c>
      <c r="E38" s="247">
        <f t="shared" si="8"/>
        <v>0</v>
      </c>
      <c r="F38" s="247">
        <f t="shared" si="8"/>
        <v>0</v>
      </c>
      <c r="G38" s="247">
        <f t="shared" si="8"/>
        <v>0</v>
      </c>
      <c r="H38" s="247">
        <f t="shared" si="8"/>
        <v>0</v>
      </c>
      <c r="I38" s="247">
        <f t="shared" si="8"/>
        <v>0</v>
      </c>
      <c r="J38" s="247">
        <f t="shared" si="8"/>
        <v>0</v>
      </c>
      <c r="K38" s="247">
        <f t="shared" si="8"/>
        <v>0</v>
      </c>
      <c r="L38" s="247">
        <f t="shared" si="8"/>
        <v>0</v>
      </c>
      <c r="M38" s="247">
        <f t="shared" si="8"/>
        <v>0</v>
      </c>
      <c r="N38" s="247">
        <f t="shared" si="8"/>
        <v>0</v>
      </c>
      <c r="O38" s="247">
        <f t="shared" si="8"/>
        <v>0</v>
      </c>
      <c r="P38" s="247">
        <f t="shared" si="8"/>
        <v>0</v>
      </c>
      <c r="Q38" s="247">
        <f t="shared" si="8"/>
        <v>0</v>
      </c>
      <c r="R38" s="247">
        <f t="shared" si="8"/>
        <v>0</v>
      </c>
      <c r="S38" s="247">
        <f t="shared" si="8"/>
        <v>0</v>
      </c>
      <c r="T38" s="247">
        <f t="shared" si="8"/>
        <v>0</v>
      </c>
    </row>
    <row r="39" spans="2:20">
      <c r="B39" s="245"/>
      <c r="C39" s="214"/>
      <c r="D39" s="214"/>
      <c r="E39" s="248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48"/>
      <c r="R39" s="214"/>
      <c r="S39" s="214"/>
      <c r="T39" s="214"/>
    </row>
    <row r="40" spans="2:20">
      <c r="B40" s="244" t="s">
        <v>349</v>
      </c>
      <c r="C40" s="214"/>
      <c r="D40" s="214"/>
      <c r="E40" s="248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48"/>
      <c r="R40" s="214"/>
      <c r="S40" s="214"/>
      <c r="T40" s="214"/>
    </row>
    <row r="41" spans="2:20">
      <c r="B41" s="245" t="s">
        <v>350</v>
      </c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</row>
    <row r="42" spans="2:20">
      <c r="B42" s="245" t="s">
        <v>351</v>
      </c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</row>
    <row r="43" spans="2:20">
      <c r="B43" s="245" t="s">
        <v>347</v>
      </c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</row>
    <row r="44" spans="2:20">
      <c r="B44" s="244" t="s">
        <v>352</v>
      </c>
      <c r="C44" s="247">
        <f t="shared" ref="C44:T44" si="9">SUM(C41:C43)</f>
        <v>0</v>
      </c>
      <c r="D44" s="247">
        <f t="shared" si="9"/>
        <v>0</v>
      </c>
      <c r="E44" s="247">
        <f t="shared" si="9"/>
        <v>0</v>
      </c>
      <c r="F44" s="247">
        <f t="shared" si="9"/>
        <v>0</v>
      </c>
      <c r="G44" s="247">
        <f t="shared" si="9"/>
        <v>0</v>
      </c>
      <c r="H44" s="247">
        <f t="shared" si="9"/>
        <v>0</v>
      </c>
      <c r="I44" s="247">
        <f t="shared" si="9"/>
        <v>0</v>
      </c>
      <c r="J44" s="247">
        <f t="shared" si="9"/>
        <v>0</v>
      </c>
      <c r="K44" s="247">
        <f t="shared" si="9"/>
        <v>0</v>
      </c>
      <c r="L44" s="247">
        <f t="shared" si="9"/>
        <v>0</v>
      </c>
      <c r="M44" s="247">
        <f t="shared" si="9"/>
        <v>0</v>
      </c>
      <c r="N44" s="247">
        <f t="shared" si="9"/>
        <v>0</v>
      </c>
      <c r="O44" s="247">
        <f t="shared" si="9"/>
        <v>0</v>
      </c>
      <c r="P44" s="247">
        <f t="shared" si="9"/>
        <v>0</v>
      </c>
      <c r="Q44" s="247">
        <f t="shared" si="9"/>
        <v>0</v>
      </c>
      <c r="R44" s="247">
        <f t="shared" si="9"/>
        <v>0</v>
      </c>
      <c r="S44" s="247">
        <f t="shared" si="9"/>
        <v>0</v>
      </c>
      <c r="T44" s="247">
        <f t="shared" si="9"/>
        <v>0</v>
      </c>
    </row>
    <row r="45" spans="2:20">
      <c r="B45" s="245" t="s">
        <v>353</v>
      </c>
      <c r="C45" s="246">
        <f t="shared" ref="C45:T45" si="10">+C40+C44</f>
        <v>0</v>
      </c>
      <c r="D45" s="246">
        <f t="shared" si="10"/>
        <v>0</v>
      </c>
      <c r="E45" s="246">
        <f t="shared" si="10"/>
        <v>0</v>
      </c>
      <c r="F45" s="246">
        <f t="shared" si="10"/>
        <v>0</v>
      </c>
      <c r="G45" s="246">
        <f t="shared" si="10"/>
        <v>0</v>
      </c>
      <c r="H45" s="246">
        <f t="shared" si="10"/>
        <v>0</v>
      </c>
      <c r="I45" s="246">
        <f t="shared" si="10"/>
        <v>0</v>
      </c>
      <c r="J45" s="246">
        <f t="shared" si="10"/>
        <v>0</v>
      </c>
      <c r="K45" s="246">
        <f t="shared" si="10"/>
        <v>0</v>
      </c>
      <c r="L45" s="246">
        <f t="shared" si="10"/>
        <v>0</v>
      </c>
      <c r="M45" s="246">
        <f t="shared" si="10"/>
        <v>0</v>
      </c>
      <c r="N45" s="246">
        <f t="shared" si="10"/>
        <v>0</v>
      </c>
      <c r="O45" s="246">
        <f t="shared" si="10"/>
        <v>0</v>
      </c>
      <c r="P45" s="246">
        <f t="shared" si="10"/>
        <v>0</v>
      </c>
      <c r="Q45" s="246">
        <f t="shared" si="10"/>
        <v>0</v>
      </c>
      <c r="R45" s="246">
        <f t="shared" si="10"/>
        <v>0</v>
      </c>
      <c r="S45" s="246">
        <f t="shared" si="10"/>
        <v>0</v>
      </c>
      <c r="T45" s="246">
        <f t="shared" si="10"/>
        <v>0</v>
      </c>
    </row>
    <row r="46" spans="2:20" ht="22.5">
      <c r="B46" s="235" t="s">
        <v>354</v>
      </c>
      <c r="C46" s="236">
        <f t="shared" ref="C46:T46" si="11">+C32+C38+C44+C45</f>
        <v>65310810</v>
      </c>
      <c r="D46" s="236">
        <f t="shared" si="11"/>
        <v>57831881</v>
      </c>
      <c r="E46" s="236">
        <f t="shared" si="11"/>
        <v>-84341091</v>
      </c>
      <c r="F46" s="236">
        <f t="shared" si="11"/>
        <v>-9262675</v>
      </c>
      <c r="G46" s="236">
        <f t="shared" si="11"/>
        <v>-23141856</v>
      </c>
      <c r="H46" s="236">
        <f t="shared" si="11"/>
        <v>-31543883</v>
      </c>
      <c r="I46" s="236">
        <f t="shared" si="11"/>
        <v>-38651535</v>
      </c>
      <c r="J46" s="236">
        <f t="shared" si="11"/>
        <v>-45826510</v>
      </c>
      <c r="K46" s="236">
        <f t="shared" si="11"/>
        <v>-53089629</v>
      </c>
      <c r="L46" s="236">
        <f t="shared" si="11"/>
        <v>-58185996</v>
      </c>
      <c r="M46" s="236">
        <f t="shared" si="11"/>
        <v>-63016749</v>
      </c>
      <c r="N46" s="236">
        <f t="shared" si="11"/>
        <v>-66194437</v>
      </c>
      <c r="O46" s="236">
        <f t="shared" si="11"/>
        <v>-69284202</v>
      </c>
      <c r="P46" s="236">
        <f t="shared" si="11"/>
        <v>-71982810</v>
      </c>
      <c r="Q46" s="236">
        <f t="shared" si="11"/>
        <v>-76992036</v>
      </c>
      <c r="R46" s="236">
        <f t="shared" si="11"/>
        <v>-40664042</v>
      </c>
      <c r="S46" s="236">
        <f t="shared" si="11"/>
        <v>-21303353</v>
      </c>
      <c r="T46" s="236">
        <f t="shared" si="11"/>
        <v>6366880</v>
      </c>
    </row>
    <row r="47" spans="2:20">
      <c r="B47" s="243"/>
      <c r="E47" s="184"/>
      <c r="Q47" s="184"/>
    </row>
    <row r="48" spans="2:20">
      <c r="B48" s="245" t="s">
        <v>355</v>
      </c>
      <c r="C48" s="249">
        <v>50822442</v>
      </c>
      <c r="D48" s="249">
        <v>52270418</v>
      </c>
      <c r="E48" s="250">
        <v>51635901</v>
      </c>
      <c r="F48" s="249">
        <v>4676483</v>
      </c>
      <c r="G48" s="249">
        <v>9352966</v>
      </c>
      <c r="H48" s="249">
        <v>14029449</v>
      </c>
      <c r="I48" s="249">
        <v>18705932</v>
      </c>
      <c r="J48" s="249">
        <v>23382415</v>
      </c>
      <c r="K48" s="249">
        <v>28058898</v>
      </c>
      <c r="L48" s="250">
        <v>32735381</v>
      </c>
      <c r="M48" s="251">
        <v>37411864</v>
      </c>
      <c r="N48" s="252">
        <v>42088347</v>
      </c>
      <c r="O48" s="252">
        <v>46764830</v>
      </c>
      <c r="P48" s="252">
        <v>51441313</v>
      </c>
      <c r="Q48" s="250">
        <v>56117799</v>
      </c>
      <c r="R48" s="249">
        <v>60767799</v>
      </c>
      <c r="S48" s="249">
        <v>70323318</v>
      </c>
      <c r="T48" s="249">
        <v>76993072</v>
      </c>
    </row>
    <row r="49" spans="2:20">
      <c r="B49" s="245" t="s">
        <v>356</v>
      </c>
      <c r="C49" s="249">
        <v>1970315</v>
      </c>
      <c r="D49" s="249">
        <v>1969971</v>
      </c>
      <c r="E49" s="250">
        <v>1937890</v>
      </c>
      <c r="F49" s="249">
        <v>161491</v>
      </c>
      <c r="G49" s="249">
        <v>322982</v>
      </c>
      <c r="H49" s="249">
        <v>484473</v>
      </c>
      <c r="I49" s="249">
        <v>645964</v>
      </c>
      <c r="J49" s="249">
        <v>807455</v>
      </c>
      <c r="K49" s="249">
        <v>968946</v>
      </c>
      <c r="L49" s="250">
        <v>1130437</v>
      </c>
      <c r="M49" s="251">
        <v>1291928</v>
      </c>
      <c r="N49" s="252">
        <v>1453419</v>
      </c>
      <c r="O49" s="252">
        <v>1614910</v>
      </c>
      <c r="P49" s="252">
        <v>1776401</v>
      </c>
      <c r="Q49" s="250">
        <v>1937892</v>
      </c>
      <c r="R49" s="249">
        <v>1937892</v>
      </c>
      <c r="S49" s="249">
        <v>1937892</v>
      </c>
      <c r="T49" s="249">
        <v>1937892</v>
      </c>
    </row>
    <row r="51" spans="2:20"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</row>
    <row r="53" spans="2:20">
      <c r="C53" s="214"/>
      <c r="D53" s="214"/>
      <c r="E53" s="214"/>
      <c r="K53" s="214"/>
      <c r="Q53" s="214"/>
      <c r="R53" s="214"/>
      <c r="S53" s="214"/>
      <c r="T53" s="214"/>
    </row>
    <row r="54" spans="2:20">
      <c r="C54" s="214"/>
      <c r="D54" s="214"/>
      <c r="E54" s="214"/>
      <c r="K54" s="214"/>
      <c r="Q54" s="214"/>
      <c r="R54" s="214"/>
      <c r="S54" s="214"/>
      <c r="T54" s="214"/>
    </row>
  </sheetData>
  <mergeCells count="1">
    <mergeCell ref="F7:Q7"/>
  </mergeCells>
  <pageMargins left="0.70866141732283472" right="0.70866141732283472" top="0.74803149606299213" bottom="0.74803149606299213" header="0.31496062992125984" footer="0.31496062992125984"/>
  <pageSetup paperSize="9" scale="78" fitToWidth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304F6-DB88-4EF5-8296-1578E000D31D}">
  <sheetPr>
    <tabColor rgb="FF92D050"/>
  </sheetPr>
  <dimension ref="A1:T11"/>
  <sheetViews>
    <sheetView topLeftCell="D1" zoomScaleNormal="100" workbookViewId="0">
      <selection activeCell="J10" sqref="J10"/>
    </sheetView>
  </sheetViews>
  <sheetFormatPr baseColWidth="10" defaultRowHeight="15"/>
  <cols>
    <col min="1" max="1" width="8" style="9" customWidth="1"/>
    <col min="2" max="2" width="12" style="1" customWidth="1"/>
    <col min="3" max="4" width="4.7109375" style="1" customWidth="1"/>
    <col min="5" max="5" width="6.28515625" style="6" customWidth="1"/>
    <col min="6" max="6" width="44" style="6" customWidth="1"/>
    <col min="7" max="7" width="15.28515625" style="6" bestFit="1" customWidth="1"/>
    <col min="8" max="8" width="18.140625" style="6" bestFit="1" customWidth="1"/>
    <col min="9" max="9" width="18.140625" style="1" bestFit="1" customWidth="1"/>
    <col min="10" max="10" width="8" style="1" bestFit="1" customWidth="1"/>
    <col min="11" max="11" width="11.140625" style="1" bestFit="1" customWidth="1"/>
    <col min="12" max="12" width="13.7109375" style="1" bestFit="1" customWidth="1"/>
    <col min="13" max="13" width="9.42578125" style="1" bestFit="1" customWidth="1"/>
    <col min="14" max="14" width="2.85546875" style="1" customWidth="1"/>
    <col min="15" max="16" width="12" style="1" customWidth="1"/>
    <col min="17" max="17" width="17.85546875" style="1" customWidth="1"/>
    <col min="18" max="18" width="11.42578125" style="1"/>
    <col min="19" max="19" width="15.42578125" style="1" bestFit="1" customWidth="1"/>
    <col min="20" max="21" width="14.42578125" style="1" bestFit="1" customWidth="1"/>
    <col min="22" max="16384" width="11.42578125" style="1"/>
  </cols>
  <sheetData>
    <row r="1" spans="1:20" ht="11.25" customHeight="1">
      <c r="A1" s="35" t="s">
        <v>15</v>
      </c>
    </row>
    <row r="2" spans="1:20" ht="9" customHeight="1"/>
    <row r="3" spans="1:20" ht="8.25" customHeight="1"/>
    <row r="4" spans="1:20">
      <c r="E4" s="7" t="s">
        <v>208</v>
      </c>
      <c r="F4" s="7"/>
      <c r="G4" s="7"/>
      <c r="H4" s="7"/>
    </row>
    <row r="5" spans="1:20">
      <c r="E5" s="7"/>
      <c r="F5" s="7"/>
      <c r="G5" s="7"/>
      <c r="H5" s="7"/>
    </row>
    <row r="6" spans="1:20">
      <c r="E6" s="7"/>
    </row>
    <row r="7" spans="1:20">
      <c r="E7" s="7"/>
      <c r="F7" s="156" t="s">
        <v>178</v>
      </c>
      <c r="G7" s="156" t="s">
        <v>312</v>
      </c>
      <c r="H7" s="156" t="s">
        <v>206</v>
      </c>
      <c r="I7" s="156" t="s">
        <v>207</v>
      </c>
      <c r="J7" s="156" t="s">
        <v>313</v>
      </c>
      <c r="K7" s="156" t="s">
        <v>314</v>
      </c>
      <c r="L7" s="156" t="s">
        <v>317</v>
      </c>
      <c r="M7" s="156" t="s">
        <v>318</v>
      </c>
      <c r="N7" s="156"/>
      <c r="O7" s="156" t="s">
        <v>315</v>
      </c>
      <c r="P7" s="156" t="s">
        <v>316</v>
      </c>
      <c r="R7" s="10"/>
      <c r="S7" s="10"/>
      <c r="T7" s="10"/>
    </row>
    <row r="8" spans="1:20">
      <c r="E8" s="7"/>
      <c r="F8" s="216" t="s">
        <v>205</v>
      </c>
      <c r="G8" s="217">
        <v>61622084</v>
      </c>
      <c r="H8" s="217">
        <v>93206138.840000004</v>
      </c>
      <c r="I8" s="217">
        <v>780096074.91999996</v>
      </c>
      <c r="J8" s="217">
        <f t="shared" ref="J8:J9" si="0">(H8)/I8</f>
        <v>0.11948033304687303</v>
      </c>
      <c r="K8" s="217">
        <f>(G8+H8)/I8</f>
        <v>0.19847327504612541</v>
      </c>
      <c r="L8" s="217">
        <f t="shared" ref="L8:L10" si="1">J8/(1+J8)</f>
        <v>0.10672838952131046</v>
      </c>
      <c r="M8" s="217">
        <f t="shared" ref="M8:M10" si="2">1/(1+J8)</f>
        <v>0.89327161047868953</v>
      </c>
      <c r="N8" s="217"/>
      <c r="O8" s="217">
        <f>K8/(1+K8)</f>
        <v>0.16560509039176266</v>
      </c>
      <c r="P8" s="217">
        <f>1/(1+K8)</f>
        <v>0.83439490960823737</v>
      </c>
    </row>
    <row r="9" spans="1:20">
      <c r="E9" s="7"/>
      <c r="F9" s="218" t="s">
        <v>217</v>
      </c>
      <c r="G9" s="219">
        <f>G8+100000000</f>
        <v>161622084</v>
      </c>
      <c r="H9" s="219">
        <v>93206138.840000004</v>
      </c>
      <c r="I9" s="219">
        <f>I8+325000000</f>
        <v>1105096074.9200001</v>
      </c>
      <c r="J9" s="219">
        <f t="shared" si="0"/>
        <v>8.4342113735900628E-2</v>
      </c>
      <c r="K9" s="219">
        <f>(G9+H9)/I9</f>
        <v>0.23059372720914559</v>
      </c>
      <c r="L9" s="219">
        <f t="shared" si="1"/>
        <v>7.7781829800297478E-2</v>
      </c>
      <c r="M9" s="219">
        <f t="shared" si="2"/>
        <v>0.92221817019970254</v>
      </c>
      <c r="N9" s="219"/>
      <c r="O9" s="219">
        <f>K9/(1+K9)</f>
        <v>0.18738412370434179</v>
      </c>
      <c r="P9" s="219">
        <f>1/(1+K9)</f>
        <v>0.81261587629565812</v>
      </c>
    </row>
    <row r="10" spans="1:20">
      <c r="E10" s="7"/>
      <c r="F10" s="158" t="s">
        <v>218</v>
      </c>
      <c r="G10" s="220" t="s">
        <v>216</v>
      </c>
      <c r="H10" s="220" t="s">
        <v>216</v>
      </c>
      <c r="I10" s="220" t="s">
        <v>216</v>
      </c>
      <c r="J10" s="219">
        <f>'FuenteDE B. ESF Presup (P)'!AB14</f>
        <v>3.7061534520985158E-2</v>
      </c>
      <c r="K10" s="219">
        <f>'FuenteDE B. ESF Presup (P)'!AB13</f>
        <v>0.12302758448778006</v>
      </c>
      <c r="L10" s="219">
        <f t="shared" si="1"/>
        <v>3.573706408665879E-2</v>
      </c>
      <c r="M10" s="219">
        <f t="shared" si="2"/>
        <v>0.96426293591334111</v>
      </c>
      <c r="N10" s="159"/>
      <c r="O10" s="219">
        <f>K10/(1+K10)</f>
        <v>0.10954992218102437</v>
      </c>
      <c r="P10" s="219">
        <f>1/(1+K10)</f>
        <v>0.89045007781897578</v>
      </c>
    </row>
    <row r="11" spans="1:20">
      <c r="E11" s="7"/>
    </row>
  </sheetData>
  <hyperlinks>
    <hyperlink ref="A1" location="Indice!A1" display="Índice" xr:uid="{31F08797-491F-4CB3-995B-983A59CEAE8C}"/>
    <hyperlink ref="F8" location="EstadoSituacionFinanciera!A1" display="ESF_02-2021" xr:uid="{E068FF81-23DD-4FAC-B677-61520F9081E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90494-7593-4CA7-96A6-CB68C73C81D2}">
  <sheetPr>
    <tabColor rgb="FF00B050"/>
  </sheetPr>
  <dimension ref="A1:Z16"/>
  <sheetViews>
    <sheetView workbookViewId="0">
      <selection activeCell="G12" sqref="G12"/>
    </sheetView>
  </sheetViews>
  <sheetFormatPr baseColWidth="10" defaultRowHeight="15"/>
  <cols>
    <col min="1" max="2" width="11.42578125" style="163"/>
    <col min="3" max="5" width="9.7109375" style="163" bestFit="1" customWidth="1"/>
    <col min="6" max="14" width="9.85546875" style="163" bestFit="1" customWidth="1"/>
    <col min="15" max="15" width="9.7109375" style="163" bestFit="1" customWidth="1"/>
    <col min="16" max="19" width="10.5703125" style="163" bestFit="1" customWidth="1"/>
    <col min="20" max="26" width="9.7109375" style="163" bestFit="1" customWidth="1"/>
    <col min="27" max="16384" width="11.42578125" style="163"/>
  </cols>
  <sheetData>
    <row r="1" spans="1:26">
      <c r="A1" s="35" t="s">
        <v>15</v>
      </c>
    </row>
    <row r="3" spans="1:26" s="161" customFormat="1">
      <c r="C3" s="161">
        <v>44197</v>
      </c>
      <c r="D3" s="161">
        <v>44228</v>
      </c>
      <c r="E3" s="161">
        <v>44256</v>
      </c>
      <c r="F3" s="161">
        <v>44287</v>
      </c>
      <c r="G3" s="161">
        <v>44317</v>
      </c>
      <c r="H3" s="161">
        <v>44348</v>
      </c>
      <c r="I3" s="161">
        <v>44378</v>
      </c>
      <c r="J3" s="161">
        <v>44409</v>
      </c>
      <c r="K3" s="161">
        <v>44440</v>
      </c>
      <c r="L3" s="161">
        <v>44470</v>
      </c>
      <c r="M3" s="161">
        <v>44501</v>
      </c>
      <c r="N3" s="161">
        <v>44531</v>
      </c>
      <c r="O3" s="162">
        <v>44562</v>
      </c>
      <c r="P3" s="162">
        <v>44593</v>
      </c>
      <c r="Q3" s="162">
        <v>44621</v>
      </c>
      <c r="R3" s="162">
        <v>44652</v>
      </c>
      <c r="S3" s="162">
        <v>44682</v>
      </c>
      <c r="T3" s="162">
        <v>44713</v>
      </c>
      <c r="U3" s="162">
        <v>44743</v>
      </c>
      <c r="V3" s="162">
        <v>44774</v>
      </c>
      <c r="W3" s="162">
        <v>44805</v>
      </c>
      <c r="X3" s="162">
        <v>44835</v>
      </c>
      <c r="Y3" s="162">
        <v>44866</v>
      </c>
      <c r="Z3" s="162">
        <v>44896</v>
      </c>
    </row>
    <row r="4" spans="1:26">
      <c r="B4" s="163" t="s">
        <v>209</v>
      </c>
      <c r="C4" s="157">
        <v>0</v>
      </c>
      <c r="D4" s="157">
        <v>0</v>
      </c>
      <c r="E4" s="157">
        <v>0</v>
      </c>
      <c r="F4" s="157">
        <v>15000000</v>
      </c>
      <c r="G4" s="157">
        <v>15000000</v>
      </c>
      <c r="H4" s="157">
        <v>10000000</v>
      </c>
      <c r="I4" s="157">
        <v>10000000</v>
      </c>
      <c r="J4" s="157">
        <v>10000000</v>
      </c>
      <c r="K4" s="157">
        <v>10000000</v>
      </c>
      <c r="L4" s="157">
        <v>10000000</v>
      </c>
      <c r="M4" s="157">
        <v>10000000</v>
      </c>
      <c r="N4" s="157">
        <v>10000000</v>
      </c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</row>
    <row r="5" spans="1:26">
      <c r="B5" s="163" t="s">
        <v>210</v>
      </c>
      <c r="C5" s="157"/>
      <c r="D5" s="157"/>
      <c r="E5" s="157"/>
      <c r="F5" s="157"/>
      <c r="G5" s="157">
        <v>24774</v>
      </c>
      <c r="H5" s="157">
        <v>49547</v>
      </c>
      <c r="I5" s="157">
        <v>74321</v>
      </c>
      <c r="J5" s="157">
        <v>99095</v>
      </c>
      <c r="K5" s="157">
        <v>115611</v>
      </c>
      <c r="L5" s="157">
        <v>132127</v>
      </c>
      <c r="M5" s="157">
        <v>144530</v>
      </c>
      <c r="N5" s="157">
        <v>152815</v>
      </c>
      <c r="O5" s="157">
        <v>156975</v>
      </c>
      <c r="P5" s="157">
        <v>140487</v>
      </c>
      <c r="Q5" s="157">
        <v>121230</v>
      </c>
      <c r="R5" s="157">
        <v>99199</v>
      </c>
      <c r="S5" s="157">
        <v>78544</v>
      </c>
      <c r="T5" s="157">
        <v>59267</v>
      </c>
      <c r="U5" s="157">
        <v>41369</v>
      </c>
      <c r="V5" s="157">
        <v>27595</v>
      </c>
      <c r="W5" s="157">
        <v>16566</v>
      </c>
      <c r="X5" s="157">
        <v>8287</v>
      </c>
      <c r="Y5" s="157">
        <v>2764</v>
      </c>
      <c r="Z5" s="157">
        <v>0</v>
      </c>
    </row>
    <row r="6" spans="1:26">
      <c r="B6" s="163" t="s">
        <v>211</v>
      </c>
      <c r="C6" s="157"/>
      <c r="D6" s="157"/>
      <c r="E6" s="157"/>
      <c r="F6" s="157"/>
      <c r="G6" s="157"/>
      <c r="H6" s="157"/>
      <c r="I6" s="157"/>
      <c r="J6" s="157"/>
      <c r="K6" s="157"/>
      <c r="L6" s="157">
        <v>2489698</v>
      </c>
      <c r="M6" s="157">
        <v>4983507</v>
      </c>
      <c r="N6" s="157">
        <v>7481435</v>
      </c>
      <c r="O6" s="157">
        <v>8983489</v>
      </c>
      <c r="P6" s="157">
        <v>10659776</v>
      </c>
      <c r="Q6" s="157">
        <v>12338831</v>
      </c>
      <c r="R6" s="157">
        <v>11506188</v>
      </c>
      <c r="S6" s="157">
        <v>10672170</v>
      </c>
      <c r="T6" s="157">
        <v>9836775</v>
      </c>
      <c r="U6" s="157">
        <v>7340202</v>
      </c>
      <c r="V6" s="157">
        <v>5677661</v>
      </c>
      <c r="W6" s="157">
        <v>3512377</v>
      </c>
      <c r="X6" s="157">
        <v>2844341</v>
      </c>
      <c r="Y6" s="157">
        <v>1673550</v>
      </c>
      <c r="Z6" s="157">
        <v>0</v>
      </c>
    </row>
    <row r="7" spans="1:26">
      <c r="B7" s="163" t="s">
        <v>212</v>
      </c>
      <c r="C7" s="164">
        <f>C4-C5-C6</f>
        <v>0</v>
      </c>
      <c r="D7" s="164">
        <f t="shared" ref="D7:Z7" si="0">D4-D5-D6</f>
        <v>0</v>
      </c>
      <c r="E7" s="164">
        <f t="shared" si="0"/>
        <v>0</v>
      </c>
      <c r="F7" s="164">
        <f t="shared" si="0"/>
        <v>15000000</v>
      </c>
      <c r="G7" s="164">
        <f t="shared" si="0"/>
        <v>14975226</v>
      </c>
      <c r="H7" s="164">
        <f t="shared" si="0"/>
        <v>9950453</v>
      </c>
      <c r="I7" s="164">
        <f t="shared" si="0"/>
        <v>9925679</v>
      </c>
      <c r="J7" s="164">
        <f t="shared" si="0"/>
        <v>9900905</v>
      </c>
      <c r="K7" s="164">
        <f t="shared" si="0"/>
        <v>9884389</v>
      </c>
      <c r="L7" s="164">
        <f t="shared" si="0"/>
        <v>7378175</v>
      </c>
      <c r="M7" s="164">
        <f t="shared" si="0"/>
        <v>4871963</v>
      </c>
      <c r="N7" s="164">
        <f t="shared" si="0"/>
        <v>2365750</v>
      </c>
      <c r="O7" s="164">
        <f t="shared" si="0"/>
        <v>-9140464</v>
      </c>
      <c r="P7" s="164">
        <f t="shared" si="0"/>
        <v>-10800263</v>
      </c>
      <c r="Q7" s="164">
        <f t="shared" si="0"/>
        <v>-12460061</v>
      </c>
      <c r="R7" s="164">
        <f t="shared" si="0"/>
        <v>-11605387</v>
      </c>
      <c r="S7" s="164">
        <f t="shared" si="0"/>
        <v>-10750714</v>
      </c>
      <c r="T7" s="164">
        <f t="shared" si="0"/>
        <v>-9896042</v>
      </c>
      <c r="U7" s="164">
        <f t="shared" si="0"/>
        <v>-7381571</v>
      </c>
      <c r="V7" s="164">
        <f t="shared" si="0"/>
        <v>-5705256</v>
      </c>
      <c r="W7" s="164">
        <f t="shared" si="0"/>
        <v>-3528943</v>
      </c>
      <c r="X7" s="164">
        <f t="shared" si="0"/>
        <v>-2852628</v>
      </c>
      <c r="Y7" s="164">
        <f t="shared" si="0"/>
        <v>-1676314</v>
      </c>
      <c r="Z7" s="164">
        <f t="shared" si="0"/>
        <v>0</v>
      </c>
    </row>
    <row r="9" spans="1:26">
      <c r="C9" s="165"/>
    </row>
    <row r="10" spans="1:26">
      <c r="B10" s="163" t="s">
        <v>213</v>
      </c>
      <c r="C10" s="166">
        <f>IRR($F$7:$Y$7)</f>
        <v>1.870354700898913E-3</v>
      </c>
    </row>
    <row r="11" spans="1:26">
      <c r="B11" s="163" t="s">
        <v>214</v>
      </c>
      <c r="C11" s="167">
        <f>(1+C10)^12-1</f>
        <v>2.267658489268376E-2</v>
      </c>
    </row>
    <row r="13" spans="1:26">
      <c r="B13" s="163" t="s">
        <v>215</v>
      </c>
      <c r="C13" s="168">
        <f>NPV($C$10,$F$7:$Y$7)</f>
        <v>-5.8331391165445013E-8</v>
      </c>
    </row>
    <row r="14" spans="1:26">
      <c r="G14" s="169"/>
    </row>
    <row r="15" spans="1:26">
      <c r="C15" s="170"/>
      <c r="G15" s="171"/>
    </row>
    <row r="16" spans="1:26">
      <c r="G16" s="171"/>
    </row>
  </sheetData>
  <hyperlinks>
    <hyperlink ref="A1" location="Indice!A1" display="Índice" xr:uid="{7EE1DE2A-B7DA-488A-8676-2759E92926E8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729BD-7153-41C4-9071-0B641F2EE415}">
  <sheetPr>
    <tabColor rgb="FF92D050"/>
  </sheetPr>
  <dimension ref="A1:C101"/>
  <sheetViews>
    <sheetView topLeftCell="A90" workbookViewId="0">
      <selection activeCell="B90" sqref="B1:B1048576"/>
    </sheetView>
  </sheetViews>
  <sheetFormatPr baseColWidth="10" defaultRowHeight="12.75"/>
  <cols>
    <col min="1" max="1" width="11.42578125" style="16"/>
    <col min="2" max="2" width="22.5703125" style="17" customWidth="1"/>
    <col min="3" max="3" width="18.7109375" style="16" customWidth="1"/>
    <col min="4" max="16384" width="11.42578125" style="16"/>
  </cols>
  <sheetData>
    <row r="1" spans="1:3" ht="15.75">
      <c r="A1" s="16" t="s">
        <v>8</v>
      </c>
      <c r="B1" s="30" t="s">
        <v>7</v>
      </c>
      <c r="C1" s="28"/>
    </row>
    <row r="2" spans="1:3" ht="15.75">
      <c r="A2" s="16" t="s">
        <v>6</v>
      </c>
      <c r="B2" s="30" t="s">
        <v>5</v>
      </c>
      <c r="C2" s="28"/>
    </row>
    <row r="3" spans="1:3" ht="15.75">
      <c r="A3" s="16" t="s">
        <v>4</v>
      </c>
      <c r="B3" s="30" t="s">
        <v>9</v>
      </c>
      <c r="C3" s="28"/>
    </row>
    <row r="4" spans="1:3" ht="15.75">
      <c r="A4" s="31"/>
      <c r="B4" s="30" t="s">
        <v>3</v>
      </c>
      <c r="C4" s="28"/>
    </row>
    <row r="5" spans="1:3" ht="15.75">
      <c r="A5" s="16" t="s">
        <v>10</v>
      </c>
      <c r="B5" s="29"/>
      <c r="C5" s="28"/>
    </row>
    <row r="6" spans="1:3" ht="15.75">
      <c r="B6" s="29"/>
      <c r="C6" s="28"/>
    </row>
    <row r="7" spans="1:3" ht="15.75">
      <c r="A7" s="27" t="s">
        <v>2</v>
      </c>
      <c r="B7" s="22" t="s">
        <v>1</v>
      </c>
      <c r="C7" s="22" t="s">
        <v>0</v>
      </c>
    </row>
    <row r="8" spans="1:3" ht="15.75">
      <c r="A8" s="22">
        <v>1927</v>
      </c>
      <c r="B8" s="26">
        <v>3.1699999999999999E-2</v>
      </c>
      <c r="C8" s="22"/>
    </row>
    <row r="9" spans="1:3" ht="15.75">
      <c r="A9" s="22">
        <v>1928</v>
      </c>
      <c r="B9" s="26">
        <v>3.4500000000000003E-2</v>
      </c>
      <c r="C9" s="25">
        <f t="shared" ref="C9:C40" si="0">((B8*(1-(1+B9)^(-10))/B9+1/(1+B9)^10)-1)+B8</f>
        <v>8.354708589799302E-3</v>
      </c>
    </row>
    <row r="10" spans="1:3" ht="15.75">
      <c r="A10" s="22">
        <v>1929</v>
      </c>
      <c r="B10" s="26">
        <v>3.3599999999999998E-2</v>
      </c>
      <c r="C10" s="25">
        <f t="shared" si="0"/>
        <v>4.2038041563204259E-2</v>
      </c>
    </row>
    <row r="11" spans="1:3" ht="15.75">
      <c r="A11" s="22">
        <v>1930</v>
      </c>
      <c r="B11" s="26">
        <v>3.2199999999999999E-2</v>
      </c>
      <c r="C11" s="25">
        <f t="shared" si="0"/>
        <v>4.5409314348970366E-2</v>
      </c>
    </row>
    <row r="12" spans="1:3" ht="15.75">
      <c r="A12" s="22">
        <v>1931</v>
      </c>
      <c r="B12" s="26">
        <v>3.9300000000000002E-2</v>
      </c>
      <c r="C12" s="25">
        <f t="shared" si="0"/>
        <v>-2.5588559619422531E-2</v>
      </c>
    </row>
    <row r="13" spans="1:3" ht="15.75">
      <c r="A13" s="22">
        <v>1932</v>
      </c>
      <c r="B13" s="26">
        <v>3.3500000000000002E-2</v>
      </c>
      <c r="C13" s="25">
        <f t="shared" si="0"/>
        <v>8.7903069904773257E-2</v>
      </c>
    </row>
    <row r="14" spans="1:3" ht="15.75">
      <c r="A14" s="22">
        <v>1933</v>
      </c>
      <c r="B14" s="26">
        <v>3.5299999999999998E-2</v>
      </c>
      <c r="C14" s="25">
        <f t="shared" si="0"/>
        <v>1.8552720891857361E-2</v>
      </c>
    </row>
    <row r="15" spans="1:3" ht="15.75">
      <c r="A15" s="22">
        <v>1934</v>
      </c>
      <c r="B15" s="26">
        <v>3.0099999999999998E-2</v>
      </c>
      <c r="C15" s="25">
        <f t="shared" si="0"/>
        <v>7.9634426179656104E-2</v>
      </c>
    </row>
    <row r="16" spans="1:3" ht="15.75">
      <c r="A16" s="22">
        <v>1935</v>
      </c>
      <c r="B16" s="26">
        <v>2.8400000000000002E-2</v>
      </c>
      <c r="C16" s="25">
        <f t="shared" si="0"/>
        <v>4.4720477296566127E-2</v>
      </c>
    </row>
    <row r="17" spans="1:3" ht="15.75">
      <c r="A17" s="22">
        <v>1936</v>
      </c>
      <c r="B17" s="26">
        <v>2.5899999999999999E-2</v>
      </c>
      <c r="C17" s="25">
        <f t="shared" si="0"/>
        <v>5.0178754045450601E-2</v>
      </c>
    </row>
    <row r="18" spans="1:3" ht="15.75">
      <c r="A18" s="22">
        <v>1937</v>
      </c>
      <c r="B18" s="26">
        <v>2.7300000000000001E-2</v>
      </c>
      <c r="C18" s="25">
        <f t="shared" si="0"/>
        <v>1.379146059646038E-2</v>
      </c>
    </row>
    <row r="19" spans="1:3" ht="15.75">
      <c r="A19" s="22">
        <v>1938</v>
      </c>
      <c r="B19" s="26">
        <v>2.5600000000000001E-2</v>
      </c>
      <c r="C19" s="25">
        <f t="shared" si="0"/>
        <v>4.2132485322046068E-2</v>
      </c>
    </row>
    <row r="20" spans="1:3" ht="15.75">
      <c r="A20" s="22">
        <v>1939</v>
      </c>
      <c r="B20" s="26">
        <v>2.35E-2</v>
      </c>
      <c r="C20" s="25">
        <f t="shared" si="0"/>
        <v>4.4122613942060671E-2</v>
      </c>
    </row>
    <row r="21" spans="1:3" ht="15.75">
      <c r="A21" s="22">
        <v>1940</v>
      </c>
      <c r="B21" s="26">
        <v>2.01E-2</v>
      </c>
      <c r="C21" s="25">
        <f t="shared" si="0"/>
        <v>5.4024815962845509E-2</v>
      </c>
    </row>
    <row r="22" spans="1:3" ht="15.75">
      <c r="A22" s="22">
        <v>1941</v>
      </c>
      <c r="B22" s="26">
        <v>2.47E-2</v>
      </c>
      <c r="C22" s="25">
        <f t="shared" si="0"/>
        <v>-2.0221975848580105E-2</v>
      </c>
    </row>
    <row r="23" spans="1:3" ht="15.75">
      <c r="A23" s="22">
        <v>1942</v>
      </c>
      <c r="B23" s="26">
        <v>2.4899999999999999E-2</v>
      </c>
      <c r="C23" s="25">
        <f t="shared" si="0"/>
        <v>2.2948682374484164E-2</v>
      </c>
    </row>
    <row r="24" spans="1:3" ht="15.75">
      <c r="A24" s="22">
        <v>1943</v>
      </c>
      <c r="B24" s="26">
        <v>2.4899999999999999E-2</v>
      </c>
      <c r="C24" s="25">
        <f t="shared" si="0"/>
        <v>2.4899999999999999E-2</v>
      </c>
    </row>
    <row r="25" spans="1:3" ht="15.75">
      <c r="A25" s="22">
        <v>1944</v>
      </c>
      <c r="B25" s="26">
        <v>2.4799999999999999E-2</v>
      </c>
      <c r="C25" s="25">
        <f t="shared" si="0"/>
        <v>2.5776111579070303E-2</v>
      </c>
    </row>
    <row r="26" spans="1:3" ht="15.75">
      <c r="A26" s="22">
        <v>1945</v>
      </c>
      <c r="B26" s="26">
        <v>2.3300000000000001E-2</v>
      </c>
      <c r="C26" s="25">
        <f t="shared" si="0"/>
        <v>3.8044173419237229E-2</v>
      </c>
    </row>
    <row r="27" spans="1:3" ht="15.75">
      <c r="A27" s="22">
        <v>1946</v>
      </c>
      <c r="B27" s="26">
        <v>2.24E-2</v>
      </c>
      <c r="C27" s="25">
        <f t="shared" si="0"/>
        <v>3.1283745375695685E-2</v>
      </c>
    </row>
    <row r="28" spans="1:3" ht="15.75">
      <c r="A28" s="22">
        <v>1947</v>
      </c>
      <c r="B28" s="26">
        <v>2.3900000000000001E-2</v>
      </c>
      <c r="C28" s="25">
        <f t="shared" si="0"/>
        <v>9.1969680628322358E-3</v>
      </c>
    </row>
    <row r="29" spans="1:3" ht="15.75">
      <c r="A29" s="22">
        <v>1948</v>
      </c>
      <c r="B29" s="26">
        <v>2.4400000000000002E-2</v>
      </c>
      <c r="C29" s="25">
        <f t="shared" si="0"/>
        <v>1.9510369413175046E-2</v>
      </c>
    </row>
    <row r="30" spans="1:3" ht="15.75">
      <c r="A30" s="22">
        <v>1949</v>
      </c>
      <c r="B30" s="26">
        <v>2.1899999999999999E-2</v>
      </c>
      <c r="C30" s="25">
        <f t="shared" si="0"/>
        <v>4.6634851827973139E-2</v>
      </c>
    </row>
    <row r="31" spans="1:3" ht="15.75">
      <c r="A31" s="22">
        <v>1950</v>
      </c>
      <c r="B31" s="26">
        <v>2.3900000000000001E-2</v>
      </c>
      <c r="C31" s="25">
        <f t="shared" si="0"/>
        <v>4.2959574171096103E-3</v>
      </c>
    </row>
    <row r="32" spans="1:3" ht="15.75">
      <c r="A32" s="22">
        <v>1951</v>
      </c>
      <c r="B32" s="26">
        <v>2.7E-2</v>
      </c>
      <c r="C32" s="25">
        <f t="shared" si="0"/>
        <v>-2.9531392208319886E-3</v>
      </c>
    </row>
    <row r="33" spans="1:3" ht="15.75">
      <c r="A33" s="22">
        <v>1952</v>
      </c>
      <c r="B33" s="26">
        <v>2.75E-2</v>
      </c>
      <c r="C33" s="25">
        <f t="shared" si="0"/>
        <v>2.2679961918305656E-2</v>
      </c>
    </row>
    <row r="34" spans="1:3" ht="15.75">
      <c r="A34" s="22">
        <v>1953</v>
      </c>
      <c r="B34" s="26">
        <v>2.5899999999999999E-2</v>
      </c>
      <c r="C34" s="25">
        <f t="shared" si="0"/>
        <v>4.1438402589088513E-2</v>
      </c>
    </row>
    <row r="35" spans="1:3" ht="15.75">
      <c r="A35" s="22">
        <v>1954</v>
      </c>
      <c r="B35" s="26">
        <v>2.5100000000000001E-2</v>
      </c>
      <c r="C35" s="25">
        <f t="shared" si="0"/>
        <v>3.2898034558095555E-2</v>
      </c>
    </row>
    <row r="36" spans="1:3" ht="15.75">
      <c r="A36" s="22">
        <v>1955</v>
      </c>
      <c r="B36" s="26">
        <v>2.9600000000000001E-2</v>
      </c>
      <c r="C36" s="25">
        <f t="shared" si="0"/>
        <v>-1.3364391288618781E-2</v>
      </c>
    </row>
    <row r="37" spans="1:3" ht="15.75">
      <c r="A37" s="22">
        <v>1956</v>
      </c>
      <c r="B37" s="26">
        <v>3.5900000000000001E-2</v>
      </c>
      <c r="C37" s="25">
        <f t="shared" si="0"/>
        <v>-2.2557738173154165E-2</v>
      </c>
    </row>
    <row r="38" spans="1:3" ht="15.75">
      <c r="A38" s="22">
        <v>1957</v>
      </c>
      <c r="B38" s="26">
        <v>3.2099999999999997E-2</v>
      </c>
      <c r="C38" s="25">
        <f t="shared" si="0"/>
        <v>6.7970128466249904E-2</v>
      </c>
    </row>
    <row r="39" spans="1:3" ht="15.75">
      <c r="A39" s="22">
        <v>1958</v>
      </c>
      <c r="B39" s="26">
        <v>3.8600000000000002E-2</v>
      </c>
      <c r="C39" s="25">
        <f t="shared" si="0"/>
        <v>-2.0990181755274694E-2</v>
      </c>
    </row>
    <row r="40" spans="1:3" ht="15.75">
      <c r="A40" s="22">
        <v>1959</v>
      </c>
      <c r="B40" s="26">
        <v>4.6899999999999997E-2</v>
      </c>
      <c r="C40" s="25">
        <f t="shared" si="0"/>
        <v>-2.6466312591385065E-2</v>
      </c>
    </row>
    <row r="41" spans="1:3" ht="15.75">
      <c r="A41" s="22">
        <v>1960</v>
      </c>
      <c r="B41" s="26">
        <v>3.8399999999999997E-2</v>
      </c>
      <c r="C41" s="25">
        <f t="shared" ref="C41:C72" si="1">((B40*(1-(1+B41)^(-10))/B41+1/(1+B41)^10)-1)+B40</f>
        <v>0.11639503690963365</v>
      </c>
    </row>
    <row r="42" spans="1:3" ht="15.75">
      <c r="A42" s="22">
        <v>1961</v>
      </c>
      <c r="B42" s="26">
        <v>4.0599999999999997E-2</v>
      </c>
      <c r="C42" s="25">
        <f t="shared" si="1"/>
        <v>2.0609208076323167E-2</v>
      </c>
    </row>
    <row r="43" spans="1:3" ht="15.75">
      <c r="A43" s="22">
        <v>1962</v>
      </c>
      <c r="B43" s="26">
        <v>3.8600000000000002E-2</v>
      </c>
      <c r="C43" s="25">
        <f t="shared" si="1"/>
        <v>5.693544054008462E-2</v>
      </c>
    </row>
    <row r="44" spans="1:3" ht="15.75">
      <c r="A44" s="22">
        <v>1963</v>
      </c>
      <c r="B44" s="26">
        <v>4.1300000000000003E-2</v>
      </c>
      <c r="C44" s="25">
        <f t="shared" si="1"/>
        <v>1.6841620739546127E-2</v>
      </c>
    </row>
    <row r="45" spans="1:3" ht="15.75">
      <c r="A45" s="22">
        <v>1964</v>
      </c>
      <c r="B45" s="26">
        <v>4.1799999999999997E-2</v>
      </c>
      <c r="C45" s="25">
        <f t="shared" si="1"/>
        <v>3.7280648911540815E-2</v>
      </c>
    </row>
    <row r="46" spans="1:3" ht="15.75">
      <c r="A46" s="22">
        <v>1965</v>
      </c>
      <c r="B46" s="26">
        <v>4.6199999999999998E-2</v>
      </c>
      <c r="C46" s="25">
        <f t="shared" si="1"/>
        <v>7.1885509359262342E-3</v>
      </c>
    </row>
    <row r="47" spans="1:3" ht="15.75">
      <c r="A47" s="22">
        <v>1966</v>
      </c>
      <c r="B47" s="26">
        <v>4.8399999999999999E-2</v>
      </c>
      <c r="C47" s="25">
        <f t="shared" si="1"/>
        <v>2.9079409324299622E-2</v>
      </c>
    </row>
    <row r="48" spans="1:3" ht="15.75">
      <c r="A48" s="22">
        <v>1967</v>
      </c>
      <c r="B48" s="26">
        <v>5.7000000000000002E-2</v>
      </c>
      <c r="C48" s="25">
        <f t="shared" si="1"/>
        <v>-1.5806209932824666E-2</v>
      </c>
    </row>
    <row r="49" spans="1:3" ht="15.75">
      <c r="A49" s="22">
        <v>1968</v>
      </c>
      <c r="B49" s="26">
        <v>6.0299999999999999E-2</v>
      </c>
      <c r="C49" s="25">
        <f t="shared" si="1"/>
        <v>3.2746196950768365E-2</v>
      </c>
    </row>
    <row r="50" spans="1:3" ht="15.75">
      <c r="A50" s="22">
        <v>1969</v>
      </c>
      <c r="B50" s="26">
        <v>7.6499999999999999E-2</v>
      </c>
      <c r="C50" s="25">
        <f t="shared" si="1"/>
        <v>-5.0140493209926106E-2</v>
      </c>
    </row>
    <row r="51" spans="1:3" ht="15.75">
      <c r="A51" s="22">
        <v>1970</v>
      </c>
      <c r="B51" s="26">
        <v>6.3899999999999998E-2</v>
      </c>
      <c r="C51" s="25">
        <f t="shared" si="1"/>
        <v>0.16754737183412338</v>
      </c>
    </row>
    <row r="52" spans="1:3" ht="15.75">
      <c r="A52" s="22">
        <v>1971</v>
      </c>
      <c r="B52" s="26">
        <v>5.9299999999999999E-2</v>
      </c>
      <c r="C52" s="25">
        <f t="shared" si="1"/>
        <v>9.7868966197122972E-2</v>
      </c>
    </row>
    <row r="53" spans="1:3" ht="15.75">
      <c r="A53" s="22">
        <v>1972</v>
      </c>
      <c r="B53" s="26">
        <v>6.3600000000000004E-2</v>
      </c>
      <c r="C53" s="25">
        <f t="shared" si="1"/>
        <v>2.818449050444969E-2</v>
      </c>
    </row>
    <row r="54" spans="1:3" ht="15.75">
      <c r="A54" s="22">
        <v>1973</v>
      </c>
      <c r="B54" s="26">
        <v>6.7400000000000002E-2</v>
      </c>
      <c r="C54" s="25">
        <f t="shared" si="1"/>
        <v>3.6586646024150085E-2</v>
      </c>
    </row>
    <row r="55" spans="1:3" ht="15.75">
      <c r="A55" s="22">
        <v>1974</v>
      </c>
      <c r="B55" s="26">
        <v>7.4300000000000005E-2</v>
      </c>
      <c r="C55" s="25">
        <f t="shared" si="1"/>
        <v>1.9886086932378574E-2</v>
      </c>
    </row>
    <row r="56" spans="1:3" ht="15.75">
      <c r="A56" s="22">
        <v>1975</v>
      </c>
      <c r="B56" s="26">
        <v>0.08</v>
      </c>
      <c r="C56" s="25">
        <f t="shared" si="1"/>
        <v>3.6052536026033838E-2</v>
      </c>
    </row>
    <row r="57" spans="1:3" ht="15.75">
      <c r="A57" s="22">
        <v>1976</v>
      </c>
      <c r="B57" s="26">
        <v>6.8699999999999997E-2</v>
      </c>
      <c r="C57" s="25">
        <f t="shared" si="1"/>
        <v>0.1598456074290921</v>
      </c>
    </row>
    <row r="58" spans="1:3" ht="15.75">
      <c r="A58" s="22">
        <v>1977</v>
      </c>
      <c r="B58" s="26">
        <v>7.6899999999999996E-2</v>
      </c>
      <c r="C58" s="25">
        <f t="shared" si="1"/>
        <v>1.2899606071070449E-2</v>
      </c>
    </row>
    <row r="59" spans="1:3" ht="15.75">
      <c r="A59" s="22">
        <v>1978</v>
      </c>
      <c r="B59" s="26">
        <v>9.01E-2</v>
      </c>
      <c r="C59" s="25">
        <f t="shared" si="1"/>
        <v>-7.7758069075086478E-3</v>
      </c>
    </row>
    <row r="60" spans="1:3" ht="15.75">
      <c r="A60" s="22">
        <v>1979</v>
      </c>
      <c r="B60" s="26">
        <v>0.10390000000000001</v>
      </c>
      <c r="C60" s="25">
        <f t="shared" si="1"/>
        <v>6.7072031247235459E-3</v>
      </c>
    </row>
    <row r="61" spans="1:3" ht="15.75">
      <c r="A61" s="22">
        <v>1980</v>
      </c>
      <c r="B61" s="26">
        <v>0.12839999999999999</v>
      </c>
      <c r="C61" s="25">
        <f t="shared" si="1"/>
        <v>-2.989744251999403E-2</v>
      </c>
    </row>
    <row r="62" spans="1:3" ht="15.75">
      <c r="A62" s="22">
        <v>1981</v>
      </c>
      <c r="B62" s="26">
        <v>0.13719999999999999</v>
      </c>
      <c r="C62" s="25">
        <f t="shared" si="1"/>
        <v>8.1992153358923542E-2</v>
      </c>
    </row>
    <row r="63" spans="1:3" ht="15.75">
      <c r="A63" s="22">
        <v>1982</v>
      </c>
      <c r="B63" s="26">
        <v>0.10539999999999999</v>
      </c>
      <c r="C63" s="25">
        <f t="shared" si="1"/>
        <v>0.32814549486295586</v>
      </c>
    </row>
    <row r="64" spans="1:3" ht="15.75">
      <c r="A64" s="22">
        <v>1983</v>
      </c>
      <c r="B64" s="26">
        <v>0.1183</v>
      </c>
      <c r="C64" s="25">
        <f t="shared" si="1"/>
        <v>3.2002094451429264E-2</v>
      </c>
    </row>
    <row r="65" spans="1:3" ht="15.75">
      <c r="A65" s="22">
        <v>1984</v>
      </c>
      <c r="B65" s="26">
        <v>0.115</v>
      </c>
      <c r="C65" s="25">
        <f t="shared" si="1"/>
        <v>0.13733364344102345</v>
      </c>
    </row>
    <row r="66" spans="1:3" ht="15.75">
      <c r="A66" s="22">
        <v>1985</v>
      </c>
      <c r="B66" s="26">
        <v>9.2600000000000002E-2</v>
      </c>
      <c r="C66" s="25">
        <f t="shared" si="1"/>
        <v>0.2571248821260641</v>
      </c>
    </row>
    <row r="67" spans="1:3" ht="15.75">
      <c r="A67" s="22">
        <v>1986</v>
      </c>
      <c r="B67" s="26">
        <v>7.1099999999999997E-2</v>
      </c>
      <c r="C67" s="25">
        <f t="shared" si="1"/>
        <v>0.24284215141767618</v>
      </c>
    </row>
    <row r="68" spans="1:3" ht="15.75">
      <c r="A68" s="22">
        <v>1987</v>
      </c>
      <c r="B68" s="26">
        <v>8.9899999999999994E-2</v>
      </c>
      <c r="C68" s="25">
        <f t="shared" si="1"/>
        <v>-4.9605089379262279E-2</v>
      </c>
    </row>
    <row r="69" spans="1:3" ht="15.75">
      <c r="A69" s="22">
        <v>1988</v>
      </c>
      <c r="B69" s="26">
        <v>9.11E-2</v>
      </c>
      <c r="C69" s="25">
        <f t="shared" si="1"/>
        <v>8.2235958434841674E-2</v>
      </c>
    </row>
    <row r="70" spans="1:3" ht="15.75">
      <c r="A70" s="22">
        <v>1989</v>
      </c>
      <c r="B70" s="26">
        <v>7.8399999999999997E-2</v>
      </c>
      <c r="C70" s="25">
        <f t="shared" si="1"/>
        <v>0.17693647159446219</v>
      </c>
    </row>
    <row r="71" spans="1:3" ht="15.75">
      <c r="A71" s="22">
        <v>1990</v>
      </c>
      <c r="B71" s="26">
        <v>8.0799999999999997E-2</v>
      </c>
      <c r="C71" s="25">
        <f t="shared" si="1"/>
        <v>6.2353753335533363E-2</v>
      </c>
    </row>
    <row r="72" spans="1:3" ht="15.75">
      <c r="A72" s="22">
        <v>1991</v>
      </c>
      <c r="B72" s="26">
        <v>7.0900000000000005E-2</v>
      </c>
      <c r="C72" s="25">
        <f t="shared" si="1"/>
        <v>0.15004510019517303</v>
      </c>
    </row>
    <row r="73" spans="1:3" ht="15.75">
      <c r="A73" s="22">
        <v>1992</v>
      </c>
      <c r="B73" s="26">
        <v>6.7699999999999996E-2</v>
      </c>
      <c r="C73" s="25">
        <f t="shared" ref="C73:C101" si="2">((B72*(1-(1+B73)^(-10))/B73+1/(1+B73)^10)-1)+B72</f>
        <v>9.3616373162079422E-2</v>
      </c>
    </row>
    <row r="74" spans="1:3" ht="15.75">
      <c r="A74" s="22">
        <v>1993</v>
      </c>
      <c r="B74" s="26">
        <v>5.7700000000000001E-2</v>
      </c>
      <c r="C74" s="25">
        <f t="shared" si="2"/>
        <v>0.14210957589263107</v>
      </c>
    </row>
    <row r="75" spans="1:3" ht="15.75">
      <c r="A75" s="22">
        <v>1994</v>
      </c>
      <c r="B75" s="26">
        <v>7.8100000000000003E-2</v>
      </c>
      <c r="C75" s="25">
        <f t="shared" si="2"/>
        <v>-8.0366555509985921E-2</v>
      </c>
    </row>
    <row r="76" spans="1:3" ht="15.75">
      <c r="A76" s="22">
        <v>1995</v>
      </c>
      <c r="B76" s="26">
        <v>5.7099999999999998E-2</v>
      </c>
      <c r="C76" s="25">
        <f t="shared" si="2"/>
        <v>0.23480780112538907</v>
      </c>
    </row>
    <row r="77" spans="1:3" ht="15.75">
      <c r="A77" s="22">
        <v>1996</v>
      </c>
      <c r="B77" s="26">
        <v>6.3E-2</v>
      </c>
      <c r="C77" s="25">
        <f t="shared" si="2"/>
        <v>1.428607793401844E-2</v>
      </c>
    </row>
    <row r="78" spans="1:3" ht="15.75">
      <c r="A78" s="22">
        <v>1997</v>
      </c>
      <c r="B78" s="26">
        <v>5.8099999999999999E-2</v>
      </c>
      <c r="C78" s="25">
        <f t="shared" si="2"/>
        <v>9.939130272977531E-2</v>
      </c>
    </row>
    <row r="79" spans="1:3" ht="15.75">
      <c r="A79" s="22">
        <v>1998</v>
      </c>
      <c r="B79" s="26">
        <v>4.65E-2</v>
      </c>
      <c r="C79" s="25">
        <f t="shared" si="2"/>
        <v>0.14921431922606215</v>
      </c>
    </row>
    <row r="80" spans="1:3" ht="15.75">
      <c r="A80" s="22">
        <v>1999</v>
      </c>
      <c r="B80" s="26">
        <v>6.4399999999999999E-2</v>
      </c>
      <c r="C80" s="25">
        <f t="shared" si="2"/>
        <v>-8.2542147962685761E-2</v>
      </c>
    </row>
    <row r="81" spans="1:3" ht="15.75">
      <c r="A81" s="22">
        <v>2000</v>
      </c>
      <c r="B81" s="26">
        <v>5.11E-2</v>
      </c>
      <c r="C81" s="25">
        <f t="shared" si="2"/>
        <v>0.16655267125397488</v>
      </c>
    </row>
    <row r="82" spans="1:3" ht="15.75">
      <c r="A82" s="22">
        <v>2001</v>
      </c>
      <c r="B82" s="26">
        <v>5.0500000000000003E-2</v>
      </c>
      <c r="C82" s="25">
        <f t="shared" si="2"/>
        <v>5.5721811892492555E-2</v>
      </c>
    </row>
    <row r="83" spans="1:3" ht="15.75">
      <c r="A83" s="22">
        <v>2002</v>
      </c>
      <c r="B83" s="26">
        <v>3.8199999999999998E-2</v>
      </c>
      <c r="C83" s="25">
        <f t="shared" si="2"/>
        <v>0.15116400378109285</v>
      </c>
    </row>
    <row r="84" spans="1:3" ht="15.75">
      <c r="A84" s="22">
        <v>2003</v>
      </c>
      <c r="B84" s="26">
        <v>4.2500000000000003E-2</v>
      </c>
      <c r="C84" s="25">
        <f t="shared" si="2"/>
        <v>3.7531858817758529E-3</v>
      </c>
    </row>
    <row r="85" spans="1:3" ht="15.75">
      <c r="A85" s="22">
        <v>2004</v>
      </c>
      <c r="B85" s="26">
        <v>4.2200000000000001E-2</v>
      </c>
      <c r="C85" s="25">
        <f t="shared" si="2"/>
        <v>4.490683702274547E-2</v>
      </c>
    </row>
    <row r="86" spans="1:3" ht="15.75">
      <c r="A86" s="22">
        <v>2005</v>
      </c>
      <c r="B86" s="26">
        <v>4.3900000000000002E-2</v>
      </c>
      <c r="C86" s="25">
        <f t="shared" si="2"/>
        <v>2.8675329597779506E-2</v>
      </c>
    </row>
    <row r="87" spans="1:3" ht="15.75">
      <c r="A87" s="22">
        <v>2006</v>
      </c>
      <c r="B87" s="26">
        <v>4.7E-2</v>
      </c>
      <c r="C87" s="25">
        <f t="shared" si="2"/>
        <v>1.9610012417568386E-2</v>
      </c>
    </row>
    <row r="88" spans="1:3" ht="15.75">
      <c r="A88" s="22">
        <v>2007</v>
      </c>
      <c r="B88" s="23">
        <v>4.02E-2</v>
      </c>
      <c r="C88" s="25">
        <f t="shared" si="2"/>
        <v>0.10209921930012807</v>
      </c>
    </row>
    <row r="89" spans="1:3" ht="15.75">
      <c r="A89" s="22">
        <v>2008</v>
      </c>
      <c r="B89" s="23">
        <v>2.2100000000000002E-2</v>
      </c>
      <c r="C89" s="25">
        <f t="shared" si="2"/>
        <v>0.20101279926977011</v>
      </c>
    </row>
    <row r="90" spans="1:3" ht="15.75">
      <c r="A90" s="22">
        <v>2009</v>
      </c>
      <c r="B90" s="23">
        <v>3.8399999999999997E-2</v>
      </c>
      <c r="C90" s="25">
        <f t="shared" si="2"/>
        <v>-0.11116695313259162</v>
      </c>
    </row>
    <row r="91" spans="1:3" ht="15.75">
      <c r="A91" s="22">
        <v>2010</v>
      </c>
      <c r="B91" s="23">
        <v>3.2899999999999999E-2</v>
      </c>
      <c r="C91" s="25">
        <f t="shared" si="2"/>
        <v>8.4629338803557719E-2</v>
      </c>
    </row>
    <row r="92" spans="1:3" ht="15.75">
      <c r="A92" s="22">
        <v>2011</v>
      </c>
      <c r="B92" s="23">
        <v>1.8800000000000001E-2</v>
      </c>
      <c r="C92" s="25">
        <f t="shared" si="2"/>
        <v>0.16035334999461354</v>
      </c>
    </row>
    <row r="93" spans="1:3" ht="15.75">
      <c r="A93" s="22">
        <v>2012</v>
      </c>
      <c r="B93" s="23">
        <v>1.7600000000000001E-2</v>
      </c>
      <c r="C93" s="18">
        <f t="shared" si="2"/>
        <v>2.971571978018946E-2</v>
      </c>
    </row>
    <row r="94" spans="1:3" ht="15.75">
      <c r="A94" s="22">
        <v>2013</v>
      </c>
      <c r="B94" s="23">
        <v>3.0360000000000002E-2</v>
      </c>
      <c r="C94" s="18">
        <f t="shared" si="2"/>
        <v>-9.104568794347262E-2</v>
      </c>
    </row>
    <row r="95" spans="1:3" ht="15.75">
      <c r="A95" s="22">
        <v>2014</v>
      </c>
      <c r="B95" s="24">
        <v>2.1700000000000001E-2</v>
      </c>
      <c r="C95" s="18">
        <f t="shared" si="2"/>
        <v>0.10746180452004755</v>
      </c>
    </row>
    <row r="96" spans="1:3" ht="15.75">
      <c r="A96" s="22">
        <v>2015</v>
      </c>
      <c r="B96" s="23">
        <v>2.2700000000000001E-2</v>
      </c>
      <c r="C96" s="18">
        <f t="shared" si="2"/>
        <v>1.2842996709792224E-2</v>
      </c>
    </row>
    <row r="97" spans="1:3" ht="15.75">
      <c r="A97" s="22">
        <v>2016</v>
      </c>
      <c r="B97" s="23">
        <v>2.4500000000000001E-2</v>
      </c>
      <c r="C97" s="18">
        <f t="shared" si="2"/>
        <v>6.9055046987477921E-3</v>
      </c>
    </row>
    <row r="98" spans="1:3" ht="15.75">
      <c r="A98" s="22">
        <v>2017</v>
      </c>
      <c r="B98" s="23">
        <v>2.41E-2</v>
      </c>
      <c r="C98" s="18">
        <f t="shared" si="2"/>
        <v>2.8017162707789457E-2</v>
      </c>
    </row>
    <row r="99" spans="1:3" ht="15.75">
      <c r="A99" s="22">
        <v>2018</v>
      </c>
      <c r="B99" s="23">
        <v>2.69E-2</v>
      </c>
      <c r="C99" s="18">
        <f t="shared" si="2"/>
        <v>-1.6692385713402633E-4</v>
      </c>
    </row>
    <row r="100" spans="1:3" ht="15.75">
      <c r="A100" s="22">
        <v>2019</v>
      </c>
      <c r="B100" s="21">
        <v>1.9199999999999998E-2</v>
      </c>
      <c r="C100" s="18">
        <f t="shared" si="2"/>
        <v>9.6356307415483927E-2</v>
      </c>
    </row>
    <row r="101" spans="1:3" ht="15.75">
      <c r="A101" s="20">
        <v>2020</v>
      </c>
      <c r="B101" s="19">
        <v>9.2999999999999992E-3</v>
      </c>
      <c r="C101" s="18">
        <f t="shared" si="2"/>
        <v>0.1133189764661412</v>
      </c>
    </row>
  </sheetData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</vt:i4>
      </vt:variant>
    </vt:vector>
  </HeadingPairs>
  <TitlesOfParts>
    <vt:vector size="23" baseType="lpstr">
      <vt:lpstr>SupuestoTipoDeCambioReal</vt:lpstr>
      <vt:lpstr>FuenteReporteTasaActiva BCRP</vt:lpstr>
      <vt:lpstr>EstadoSituacionFinanciera</vt:lpstr>
      <vt:lpstr>FuenteDE B. ESF Presup (P)</vt:lpstr>
      <vt:lpstr>CostoDeDeuda</vt:lpstr>
      <vt:lpstr>Fuente ERI Presup (P)</vt:lpstr>
      <vt:lpstr>EstructuraFinanciera</vt:lpstr>
      <vt:lpstr>TIRPrestamoACorto</vt:lpstr>
      <vt:lpstr>FuenteTasaLibreDeRiesgo</vt:lpstr>
      <vt:lpstr>TasaLibreDeRiesgo</vt:lpstr>
      <vt:lpstr>Returns by year</vt:lpstr>
      <vt:lpstr>FuenteRendimientoMercado</vt:lpstr>
      <vt:lpstr>RendimientoDelMercado</vt:lpstr>
      <vt:lpstr>FuenteRiesgoPais</vt:lpstr>
      <vt:lpstr>RiesgoPais</vt:lpstr>
      <vt:lpstr>Indice</vt:lpstr>
      <vt:lpstr>STEER</vt:lpstr>
      <vt:lpstr>swiss francia</vt:lpstr>
      <vt:lpstr>swiss irlanda</vt:lpstr>
      <vt:lpstr>aena hoy</vt:lpstr>
      <vt:lpstr>FuenteBetas</vt:lpstr>
      <vt:lpstr>Hoja3</vt:lpstr>
      <vt:lpstr>FuenteRiesgoPais!Área_de_impresión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</dc:creator>
  <cp:lastModifiedBy>ARG</cp:lastModifiedBy>
  <dcterms:created xsi:type="dcterms:W3CDTF">2021-02-09T20:22:16Z</dcterms:created>
  <dcterms:modified xsi:type="dcterms:W3CDTF">2021-05-26T20:54:30Z</dcterms:modified>
</cp:coreProperties>
</file>