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filterPrivacy="1" defaultThemeVersion="124226"/>
  <xr:revisionPtr revIDLastSave="0" documentId="8_{D63CDC0A-3667-4992-9556-1B57F6D5DC7E}" xr6:coauthVersionLast="40" xr6:coauthVersionMax="40" xr10:uidLastSave="{00000000-0000-0000-0000-000000000000}"/>
  <bookViews>
    <workbookView xWindow="390" yWindow="390" windowWidth="21600" windowHeight="11385" xr2:uid="{00000000-000D-0000-FFFF-FFFF00000000}"/>
  </bookViews>
  <sheets>
    <sheet name="Factor X" sheetId="3" r:id="rId1"/>
    <sheet name="Datos Macro" sheetId="4" r:id="rId2"/>
    <sheet name="Producción" sheetId="2" r:id="rId3"/>
    <sheet name="Mano de obra" sheetId="5" r:id="rId4"/>
    <sheet name="Materiales" sheetId="8" r:id="rId5"/>
    <sheet name="Inversiones" sheetId="6" r:id="rId6"/>
    <sheet name="WACC - cálculo" sheetId="10" r:id="rId7"/>
    <sheet name="Agregados" sheetId="9" r:id="rId8"/>
    <sheet name="PTF_Economía" sheetId="11" r:id="rId9"/>
  </sheets>
  <externalReferences>
    <externalReference r:id="rId10"/>
  </externalReferences>
  <definedNames>
    <definedName name="_ftn1" localSheetId="0">'Factor X'!$F$83</definedName>
    <definedName name="_ftn2" localSheetId="0">'Factor X'!$F$85</definedName>
    <definedName name="_ftn3" localSheetId="0">'Factor X'!$F$87</definedName>
    <definedName name="_ftnref3" localSheetId="0">'Factor X'!$F$63</definedName>
    <definedName name="IPM">[1]Supuestos!#REF!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2" l="1"/>
  <c r="K9" i="11"/>
  <c r="D5" i="3" s="1"/>
  <c r="G9" i="4" l="1"/>
  <c r="H9" i="4"/>
  <c r="I9" i="4"/>
  <c r="D9" i="4"/>
  <c r="E9" i="4"/>
  <c r="F9" i="4"/>
  <c r="F8" i="4"/>
  <c r="G18" i="4"/>
  <c r="H18" i="4"/>
  <c r="I18" i="4"/>
  <c r="E18" i="4"/>
  <c r="D18" i="4"/>
  <c r="F18" i="4"/>
  <c r="F17" i="4"/>
  <c r="D52" i="6"/>
  <c r="E52" i="6" s="1"/>
  <c r="F52" i="6" s="1"/>
  <c r="I83" i="10"/>
  <c r="I84" i="10"/>
  <c r="E92" i="10" l="1"/>
  <c r="E98" i="10"/>
  <c r="E99" i="10"/>
  <c r="E100" i="10"/>
  <c r="D105" i="10"/>
  <c r="D79" i="10"/>
  <c r="E79" i="10"/>
  <c r="F79" i="10"/>
  <c r="F80" i="10" s="1"/>
  <c r="G79" i="10"/>
  <c r="G80" i="10" s="1"/>
  <c r="H79" i="10"/>
  <c r="H80" i="10" s="1"/>
  <c r="H203" i="10"/>
  <c r="D203" i="10"/>
  <c r="E13" i="5"/>
  <c r="D13" i="5"/>
  <c r="C11" i="8"/>
  <c r="F13" i="5"/>
  <c r="C13" i="5"/>
  <c r="C18" i="5" s="1"/>
  <c r="I85" i="10"/>
  <c r="E24" i="5" l="1"/>
  <c r="E23" i="5"/>
  <c r="E34" i="5"/>
  <c r="E105" i="10"/>
  <c r="E80" i="10"/>
  <c r="E36" i="5"/>
  <c r="D80" i="10"/>
  <c r="I80" i="10" s="1"/>
  <c r="I79" i="10"/>
  <c r="I81" i="10"/>
  <c r="C16" i="8"/>
  <c r="D75" i="6"/>
  <c r="E75" i="6" s="1"/>
  <c r="F75" i="6" s="1"/>
  <c r="D18" i="5" l="1"/>
  <c r="E18" i="5"/>
  <c r="F18" i="5"/>
  <c r="E19" i="2"/>
  <c r="F19" i="2"/>
  <c r="G19" i="2"/>
  <c r="E18" i="2"/>
  <c r="F18" i="2"/>
  <c r="D18" i="2"/>
  <c r="D19" i="2"/>
  <c r="G26" i="5" l="1"/>
  <c r="G33" i="5"/>
  <c r="G35" i="5"/>
  <c r="G25" i="5"/>
  <c r="G34" i="5"/>
  <c r="G23" i="5"/>
  <c r="G24" i="5"/>
  <c r="F33" i="5"/>
  <c r="F26" i="5"/>
  <c r="G36" i="5"/>
  <c r="F35" i="5"/>
  <c r="F25" i="5"/>
  <c r="E33" i="5"/>
  <c r="F23" i="5"/>
  <c r="E26" i="5"/>
  <c r="F24" i="5"/>
  <c r="F34" i="5"/>
  <c r="F36" i="5"/>
  <c r="E25" i="5"/>
  <c r="E35" i="5"/>
  <c r="I86" i="10"/>
  <c r="I89" i="10" s="1"/>
  <c r="F15" i="4" l="1"/>
  <c r="D56" i="10"/>
  <c r="E56" i="10"/>
  <c r="F56" i="10"/>
  <c r="G56" i="10"/>
  <c r="H56" i="10"/>
  <c r="D57" i="10"/>
  <c r="E57" i="10"/>
  <c r="F57" i="10"/>
  <c r="G57" i="10"/>
  <c r="H57" i="10"/>
  <c r="D58" i="10"/>
  <c r="E58" i="10"/>
  <c r="F58" i="10"/>
  <c r="G58" i="10"/>
  <c r="H58" i="10"/>
  <c r="D59" i="10"/>
  <c r="E59" i="10"/>
  <c r="F59" i="10"/>
  <c r="G59" i="10"/>
  <c r="H59" i="10"/>
  <c r="D60" i="10"/>
  <c r="E60" i="10"/>
  <c r="F60" i="10"/>
  <c r="G60" i="10"/>
  <c r="H60" i="10"/>
  <c r="E55" i="10"/>
  <c r="F55" i="10"/>
  <c r="G55" i="10"/>
  <c r="H55" i="10"/>
  <c r="H65" i="10" s="1"/>
  <c r="D55" i="10"/>
  <c r="E65" i="10" l="1"/>
  <c r="H66" i="10"/>
  <c r="F65" i="10"/>
  <c r="F69" i="10"/>
  <c r="F70" i="10"/>
  <c r="G69" i="10"/>
  <c r="G70" i="10"/>
  <c r="G66" i="10"/>
  <c r="H68" i="10"/>
  <c r="H67" i="10"/>
  <c r="I105" i="10"/>
  <c r="H81" i="10" s="1"/>
  <c r="D30" i="10"/>
  <c r="C26" i="6"/>
  <c r="H84" i="6" s="1"/>
  <c r="C24" i="6"/>
  <c r="E15" i="4"/>
  <c r="C68" i="6"/>
  <c r="D68" i="6"/>
  <c r="C47" i="6" s="1"/>
  <c r="E68" i="6"/>
  <c r="D40" i="6" s="1"/>
  <c r="F68" i="6"/>
  <c r="G68" i="6"/>
  <c r="H105" i="10"/>
  <c r="G81" i="10" s="1"/>
  <c r="G105" i="10"/>
  <c r="F81" i="10" s="1"/>
  <c r="F105" i="10"/>
  <c r="E81" i="10"/>
  <c r="G26" i="2"/>
  <c r="G15" i="4"/>
  <c r="J15" i="4" s="1"/>
  <c r="H15" i="4"/>
  <c r="I15" i="4"/>
  <c r="D14" i="4"/>
  <c r="E14" i="4"/>
  <c r="F14" i="4"/>
  <c r="G14" i="4"/>
  <c r="G16" i="4" s="1"/>
  <c r="H14" i="4"/>
  <c r="H16" i="4" s="1"/>
  <c r="I14" i="4"/>
  <c r="I16" i="4" s="1"/>
  <c r="C14" i="4"/>
  <c r="D16" i="4" s="1"/>
  <c r="E7" i="4"/>
  <c r="F7" i="4"/>
  <c r="G7" i="4"/>
  <c r="H7" i="4"/>
  <c r="I7" i="4"/>
  <c r="D7" i="4"/>
  <c r="H6" i="4"/>
  <c r="I6" i="4"/>
  <c r="F38" i="6"/>
  <c r="F40" i="6"/>
  <c r="F42" i="6"/>
  <c r="F43" i="6"/>
  <c r="F44" i="6"/>
  <c r="F48" i="6"/>
  <c r="F49" i="6"/>
  <c r="D4" i="6"/>
  <c r="E4" i="6" s="1"/>
  <c r="F4" i="6" s="1"/>
  <c r="F199" i="10"/>
  <c r="F200" i="10" s="1"/>
  <c r="F201" i="10" s="1"/>
  <c r="F202" i="10" s="1"/>
  <c r="F203" i="10" s="1"/>
  <c r="B199" i="10"/>
  <c r="B200" i="10" s="1"/>
  <c r="B201" i="10" s="1"/>
  <c r="B202" i="10" s="1"/>
  <c r="B203" i="10" s="1"/>
  <c r="D81" i="10"/>
  <c r="E77" i="10"/>
  <c r="F92" i="10" s="1"/>
  <c r="F77" i="10"/>
  <c r="G92" i="10" s="1"/>
  <c r="H92" i="10" s="1"/>
  <c r="I92" i="10" s="1"/>
  <c r="H69" i="10"/>
  <c r="H70" i="10"/>
  <c r="G65" i="10"/>
  <c r="G67" i="10"/>
  <c r="G68" i="10"/>
  <c r="F66" i="10"/>
  <c r="F67" i="10"/>
  <c r="F68" i="10"/>
  <c r="E66" i="10"/>
  <c r="E67" i="10"/>
  <c r="E68" i="10"/>
  <c r="E69" i="10"/>
  <c r="E70" i="10"/>
  <c r="D65" i="10"/>
  <c r="D66" i="10"/>
  <c r="D67" i="10"/>
  <c r="D68" i="10"/>
  <c r="D69" i="10"/>
  <c r="D70" i="10"/>
  <c r="E73" i="10"/>
  <c r="F73" i="10"/>
  <c r="G73" i="10" s="1"/>
  <c r="H73" i="10" s="1"/>
  <c r="E64" i="10"/>
  <c r="F64" i="10" s="1"/>
  <c r="G64" i="10" s="1"/>
  <c r="H64" i="10" s="1"/>
  <c r="E54" i="10"/>
  <c r="F54" i="10" s="1"/>
  <c r="G54" i="10" s="1"/>
  <c r="H54" i="10" s="1"/>
  <c r="E44" i="10"/>
  <c r="F44" i="10" s="1"/>
  <c r="G44" i="10" s="1"/>
  <c r="H44" i="10" s="1"/>
  <c r="E34" i="10"/>
  <c r="F34" i="10" s="1"/>
  <c r="G34" i="10" s="1"/>
  <c r="H34" i="10" s="1"/>
  <c r="H30" i="10"/>
  <c r="G30" i="10"/>
  <c r="F30" i="10"/>
  <c r="E30" i="10"/>
  <c r="E23" i="10"/>
  <c r="F23" i="10" s="1"/>
  <c r="G23" i="10" s="1"/>
  <c r="H23" i="10" s="1"/>
  <c r="D5" i="8"/>
  <c r="E6" i="4"/>
  <c r="C43" i="3"/>
  <c r="F6" i="4"/>
  <c r="G6" i="4"/>
  <c r="C7" i="5"/>
  <c r="C12" i="5" s="1"/>
  <c r="C17" i="5" s="1"/>
  <c r="D36" i="6"/>
  <c r="E36" i="6" s="1"/>
  <c r="F36" i="6" s="1"/>
  <c r="D67" i="6"/>
  <c r="D15" i="4"/>
  <c r="E29" i="2"/>
  <c r="F29" i="2" s="1"/>
  <c r="G29" i="2" s="1"/>
  <c r="C38" i="3"/>
  <c r="C33" i="3"/>
  <c r="C29" i="3"/>
  <c r="C25" i="3"/>
  <c r="C21" i="3"/>
  <c r="D6" i="4"/>
  <c r="E16" i="4"/>
  <c r="F12" i="4"/>
  <c r="E12" i="4"/>
  <c r="F3" i="4"/>
  <c r="E3" i="4" s="1"/>
  <c r="E3" i="2"/>
  <c r="F3" i="2" s="1"/>
  <c r="C17" i="3"/>
  <c r="C13" i="9"/>
  <c r="C21" i="9" s="1"/>
  <c r="E22" i="5"/>
  <c r="F22" i="5" s="1"/>
  <c r="G22" i="5" s="1"/>
  <c r="H3" i="4"/>
  <c r="I3" i="4" s="1"/>
  <c r="G77" i="10" l="1"/>
  <c r="H77" i="10" s="1"/>
  <c r="D48" i="6"/>
  <c r="D38" i="6"/>
  <c r="F16" i="4"/>
  <c r="E17" i="4" s="1"/>
  <c r="G8" i="4"/>
  <c r="H8" i="4"/>
  <c r="I8" i="4" s="1"/>
  <c r="E8" i="4"/>
  <c r="D8" i="4" s="1"/>
  <c r="D42" i="6"/>
  <c r="C63" i="6"/>
  <c r="D5" i="9"/>
  <c r="E67" i="6"/>
  <c r="D93" i="6"/>
  <c r="D110" i="6" s="1"/>
  <c r="D127" i="6" s="1"/>
  <c r="E145" i="6" s="1"/>
  <c r="E155" i="6" s="1"/>
  <c r="C48" i="6"/>
  <c r="C44" i="6"/>
  <c r="C42" i="6"/>
  <c r="C40" i="6"/>
  <c r="C38" i="6"/>
  <c r="H86" i="6"/>
  <c r="F41" i="6"/>
  <c r="C49" i="6"/>
  <c r="C43" i="6"/>
  <c r="C41" i="6"/>
  <c r="C39" i="6"/>
  <c r="E41" i="6"/>
  <c r="D44" i="6"/>
  <c r="E60" i="6" s="1"/>
  <c r="C10" i="8"/>
  <c r="D3" i="5"/>
  <c r="D7" i="5" s="1"/>
  <c r="D12" i="5" s="1"/>
  <c r="D17" i="5" s="1"/>
  <c r="D9" i="2"/>
  <c r="D16" i="2" s="1"/>
  <c r="D23" i="2" s="1"/>
  <c r="D26" i="2"/>
  <c r="E48" i="6"/>
  <c r="F64" i="6" s="1"/>
  <c r="E42" i="6"/>
  <c r="F58" i="6" s="1"/>
  <c r="E38" i="6"/>
  <c r="F54" i="6" s="1"/>
  <c r="F39" i="6"/>
  <c r="E44" i="6"/>
  <c r="F60" i="6" s="1"/>
  <c r="F47" i="6"/>
  <c r="E49" i="6"/>
  <c r="F65" i="6" s="1"/>
  <c r="E47" i="6"/>
  <c r="E39" i="6"/>
  <c r="D49" i="6"/>
  <c r="E65" i="6" s="1"/>
  <c r="D47" i="6"/>
  <c r="D43" i="6"/>
  <c r="D41" i="6"/>
  <c r="E57" i="6" s="1"/>
  <c r="D39" i="6"/>
  <c r="E43" i="6"/>
  <c r="F59" i="6" s="1"/>
  <c r="E40" i="6"/>
  <c r="F56" i="6" s="1"/>
  <c r="E25" i="2"/>
  <c r="G25" i="2"/>
  <c r="G3" i="2"/>
  <c r="G9" i="2" s="1"/>
  <c r="G16" i="2" s="1"/>
  <c r="G23" i="2" s="1"/>
  <c r="F9" i="2"/>
  <c r="F16" i="2" s="1"/>
  <c r="F23" i="2" s="1"/>
  <c r="G17" i="4"/>
  <c r="F67" i="6"/>
  <c r="H89" i="10"/>
  <c r="F89" i="10"/>
  <c r="D89" i="10"/>
  <c r="D10" i="8"/>
  <c r="E5" i="8"/>
  <c r="E89" i="10"/>
  <c r="C20" i="8"/>
  <c r="D24" i="8" s="1"/>
  <c r="D33" i="8" s="1"/>
  <c r="D15" i="8"/>
  <c r="G89" i="10"/>
  <c r="C93" i="6"/>
  <c r="C110" i="6" s="1"/>
  <c r="C127" i="6" s="1"/>
  <c r="D145" i="6" s="1"/>
  <c r="D155" i="6" s="1"/>
  <c r="E32" i="5"/>
  <c r="F32" i="5" s="1"/>
  <c r="G32" i="5" s="1"/>
  <c r="E9" i="2"/>
  <c r="E16" i="2" s="1"/>
  <c r="E23" i="2" s="1"/>
  <c r="E3" i="5"/>
  <c r="F26" i="2"/>
  <c r="D6" i="3"/>
  <c r="E26" i="2"/>
  <c r="D17" i="4"/>
  <c r="D74" i="10"/>
  <c r="E74" i="10"/>
  <c r="F74" i="10"/>
  <c r="G74" i="10"/>
  <c r="H74" i="10"/>
  <c r="F30" i="2" l="1"/>
  <c r="E33" i="2"/>
  <c r="E32" i="2"/>
  <c r="F31" i="2"/>
  <c r="G33" i="2"/>
  <c r="G32" i="2"/>
  <c r="E55" i="6"/>
  <c r="E63" i="6"/>
  <c r="D63" i="6"/>
  <c r="C55" i="6"/>
  <c r="D55" i="6"/>
  <c r="D58" i="6"/>
  <c r="C58" i="6"/>
  <c r="F55" i="6"/>
  <c r="C57" i="6"/>
  <c r="D57" i="6"/>
  <c r="C60" i="6"/>
  <c r="D60" i="6"/>
  <c r="E56" i="6"/>
  <c r="E59" i="6"/>
  <c r="F63" i="6"/>
  <c r="C59" i="6"/>
  <c r="D59" i="6"/>
  <c r="D54" i="6"/>
  <c r="C54" i="6"/>
  <c r="D64" i="6"/>
  <c r="C64" i="6"/>
  <c r="E58" i="6"/>
  <c r="E64" i="6"/>
  <c r="F57" i="6"/>
  <c r="D65" i="6"/>
  <c r="C65" i="6"/>
  <c r="C56" i="6"/>
  <c r="D56" i="6"/>
  <c r="E54" i="6"/>
  <c r="E5" i="9"/>
  <c r="D13" i="9"/>
  <c r="D21" i="9" s="1"/>
  <c r="C21" i="8"/>
  <c r="G27" i="5"/>
  <c r="G28" i="5" s="1"/>
  <c r="E27" i="5"/>
  <c r="E28" i="5" s="1"/>
  <c r="G37" i="5"/>
  <c r="G38" i="5" s="1"/>
  <c r="D25" i="2"/>
  <c r="F25" i="2"/>
  <c r="F75" i="10"/>
  <c r="F78" i="10" s="1"/>
  <c r="F82" i="10" s="1"/>
  <c r="F88" i="10" s="1"/>
  <c r="E75" i="10"/>
  <c r="E78" i="10" s="1"/>
  <c r="H75" i="10"/>
  <c r="H78" i="10" s="1"/>
  <c r="H82" i="10" s="1"/>
  <c r="H88" i="10" s="1"/>
  <c r="H87" i="10" s="1"/>
  <c r="G69" i="6" s="1"/>
  <c r="D75" i="10"/>
  <c r="D78" i="10" s="1"/>
  <c r="F5" i="8"/>
  <c r="F10" i="8" s="1"/>
  <c r="E10" i="8"/>
  <c r="F27" i="5"/>
  <c r="F28" i="5" s="1"/>
  <c r="F37" i="5"/>
  <c r="F38" i="5" s="1"/>
  <c r="E7" i="5"/>
  <c r="E12" i="5" s="1"/>
  <c r="E17" i="5" s="1"/>
  <c r="F3" i="5"/>
  <c r="F7" i="5" s="1"/>
  <c r="F12" i="5" s="1"/>
  <c r="F17" i="5" s="1"/>
  <c r="E15" i="8"/>
  <c r="D20" i="8"/>
  <c r="E24" i="8" s="1"/>
  <c r="E33" i="8" s="1"/>
  <c r="H17" i="4"/>
  <c r="D11" i="8"/>
  <c r="D16" i="8" s="1"/>
  <c r="E93" i="6"/>
  <c r="E110" i="6" s="1"/>
  <c r="E127" i="6" s="1"/>
  <c r="F145" i="6" s="1"/>
  <c r="F155" i="6" s="1"/>
  <c r="G67" i="6"/>
  <c r="F93" i="6" s="1"/>
  <c r="F110" i="6" s="1"/>
  <c r="F127" i="6" s="1"/>
  <c r="G145" i="6" s="1"/>
  <c r="G155" i="6" s="1"/>
  <c r="G75" i="10"/>
  <c r="G78" i="10" s="1"/>
  <c r="G82" i="10" s="1"/>
  <c r="G88" i="10" s="1"/>
  <c r="G87" i="10" s="1"/>
  <c r="F69" i="6" s="1"/>
  <c r="E69" i="6" l="1"/>
  <c r="F87" i="10"/>
  <c r="F33" i="2"/>
  <c r="G30" i="2"/>
  <c r="G31" i="2"/>
  <c r="G34" i="2" s="1"/>
  <c r="G35" i="2" s="1"/>
  <c r="F32" i="2"/>
  <c r="E30" i="2"/>
  <c r="E31" i="2"/>
  <c r="E37" i="8"/>
  <c r="D98" i="6"/>
  <c r="D82" i="10"/>
  <c r="D88" i="10" s="1"/>
  <c r="D87" i="10" s="1"/>
  <c r="I78" i="10"/>
  <c r="I82" i="10" s="1"/>
  <c r="I88" i="10" s="1"/>
  <c r="E104" i="6"/>
  <c r="E88" i="10"/>
  <c r="E82" i="10"/>
  <c r="E26" i="8"/>
  <c r="E25" i="8"/>
  <c r="E35" i="8"/>
  <c r="F5" i="9"/>
  <c r="F13" i="9" s="1"/>
  <c r="F21" i="9" s="1"/>
  <c r="E13" i="9"/>
  <c r="E21" i="9" s="1"/>
  <c r="F88" i="6"/>
  <c r="F106" i="6" s="1"/>
  <c r="F87" i="6"/>
  <c r="F105" i="6" s="1"/>
  <c r="D88" i="6"/>
  <c r="D106" i="6" s="1"/>
  <c r="D87" i="6"/>
  <c r="D105" i="6" s="1"/>
  <c r="E87" i="6"/>
  <c r="E105" i="6" s="1"/>
  <c r="E88" i="6"/>
  <c r="E106" i="6" s="1"/>
  <c r="E37" i="5"/>
  <c r="E38" i="5" s="1"/>
  <c r="G39" i="5" s="1"/>
  <c r="G29" i="5"/>
  <c r="E77" i="6"/>
  <c r="E78" i="6"/>
  <c r="E96" i="6" s="1"/>
  <c r="E79" i="6"/>
  <c r="E97" i="6" s="1"/>
  <c r="E80" i="6"/>
  <c r="E98" i="6" s="1"/>
  <c r="E82" i="6"/>
  <c r="E100" i="6" s="1"/>
  <c r="E86" i="6"/>
  <c r="E84" i="6"/>
  <c r="E81" i="6"/>
  <c r="E99" i="6" s="1"/>
  <c r="E83" i="6"/>
  <c r="E101" i="6" s="1"/>
  <c r="D80" i="6"/>
  <c r="D81" i="6"/>
  <c r="D99" i="6" s="1"/>
  <c r="D78" i="6"/>
  <c r="D96" i="6" s="1"/>
  <c r="D79" i="6"/>
  <c r="D97" i="6" s="1"/>
  <c r="D84" i="6"/>
  <c r="D77" i="6"/>
  <c r="D95" i="6" s="1"/>
  <c r="D82" i="6"/>
  <c r="D100" i="6" s="1"/>
  <c r="D86" i="6"/>
  <c r="D104" i="6" s="1"/>
  <c r="D83" i="6"/>
  <c r="D101" i="6" s="1"/>
  <c r="F86" i="6"/>
  <c r="F104" i="6" s="1"/>
  <c r="F79" i="6"/>
  <c r="F97" i="6" s="1"/>
  <c r="F77" i="6"/>
  <c r="F81" i="6"/>
  <c r="F99" i="6" s="1"/>
  <c r="F78" i="6"/>
  <c r="F96" i="6" s="1"/>
  <c r="F82" i="6"/>
  <c r="F100" i="6" s="1"/>
  <c r="F84" i="6"/>
  <c r="F83" i="6"/>
  <c r="F101" i="6" s="1"/>
  <c r="F80" i="6"/>
  <c r="F98" i="6" s="1"/>
  <c r="D21" i="8"/>
  <c r="E27" i="8" s="1"/>
  <c r="E11" i="8"/>
  <c r="E16" i="8" s="1"/>
  <c r="I17" i="4"/>
  <c r="F11" i="8" s="1"/>
  <c r="F16" i="8" s="1"/>
  <c r="I87" i="10"/>
  <c r="F15" i="8"/>
  <c r="F20" i="8" s="1"/>
  <c r="G24" i="8" s="1"/>
  <c r="G33" i="8" s="1"/>
  <c r="E20" i="8"/>
  <c r="F24" i="8" s="1"/>
  <c r="F33" i="8" s="1"/>
  <c r="F34" i="2"/>
  <c r="F37" i="8" l="1"/>
  <c r="E36" i="8"/>
  <c r="E34" i="2"/>
  <c r="G36" i="8"/>
  <c r="E87" i="10"/>
  <c r="D69" i="6" s="1"/>
  <c r="F95" i="6"/>
  <c r="E34" i="8"/>
  <c r="F25" i="8"/>
  <c r="E28" i="8"/>
  <c r="F26" i="8"/>
  <c r="F35" i="8"/>
  <c r="E95" i="6"/>
  <c r="E21" i="8"/>
  <c r="F27" i="8" s="1"/>
  <c r="C25" i="6"/>
  <c r="C27" i="6" s="1"/>
  <c r="C45" i="6" s="1"/>
  <c r="D14" i="9"/>
  <c r="E35" i="2"/>
  <c r="F21" i="8"/>
  <c r="G27" i="8" s="1"/>
  <c r="E14" i="9"/>
  <c r="F35" i="2"/>
  <c r="E29" i="8"/>
  <c r="E30" i="8" s="1"/>
  <c r="F14" i="9"/>
  <c r="C77" i="6" l="1"/>
  <c r="C86" i="6"/>
  <c r="C81" i="6"/>
  <c r="C84" i="6"/>
  <c r="C88" i="6"/>
  <c r="C79" i="6"/>
  <c r="C87" i="6"/>
  <c r="C82" i="6"/>
  <c r="C78" i="6"/>
  <c r="C80" i="6"/>
  <c r="C83" i="6"/>
  <c r="G37" i="8"/>
  <c r="G35" i="8"/>
  <c r="G25" i="8"/>
  <c r="G26" i="8"/>
  <c r="F34" i="8"/>
  <c r="F38" i="8" s="1"/>
  <c r="F39" i="8" s="1"/>
  <c r="F28" i="8"/>
  <c r="G28" i="8"/>
  <c r="G34" i="8"/>
  <c r="F36" i="8"/>
  <c r="G36" i="2"/>
  <c r="F45" i="6"/>
  <c r="E45" i="6"/>
  <c r="D45" i="6"/>
  <c r="E38" i="8"/>
  <c r="E39" i="8" s="1"/>
  <c r="C105" i="6" l="1"/>
  <c r="D122" i="6"/>
  <c r="D139" i="6" s="1"/>
  <c r="F122" i="6"/>
  <c r="F139" i="6" s="1"/>
  <c r="E122" i="6"/>
  <c r="E139" i="6" s="1"/>
  <c r="C96" i="6"/>
  <c r="D113" i="6"/>
  <c r="D130" i="6" s="1"/>
  <c r="F113" i="6"/>
  <c r="F130" i="6" s="1"/>
  <c r="E113" i="6"/>
  <c r="E130" i="6" s="1"/>
  <c r="C97" i="6"/>
  <c r="E114" i="6"/>
  <c r="E131" i="6" s="1"/>
  <c r="D114" i="6"/>
  <c r="D131" i="6" s="1"/>
  <c r="F114" i="6"/>
  <c r="F131" i="6" s="1"/>
  <c r="C95" i="6"/>
  <c r="D112" i="6"/>
  <c r="D129" i="6" s="1"/>
  <c r="C106" i="6"/>
  <c r="C123" i="6" s="1"/>
  <c r="F123" i="6"/>
  <c r="F140" i="6" s="1"/>
  <c r="E123" i="6"/>
  <c r="E140" i="6" s="1"/>
  <c r="D123" i="6"/>
  <c r="D140" i="6" s="1"/>
  <c r="E112" i="6"/>
  <c r="E129" i="6" s="1"/>
  <c r="C101" i="6"/>
  <c r="F118" i="6"/>
  <c r="F135" i="6" s="1"/>
  <c r="E118" i="6"/>
  <c r="E135" i="6" s="1"/>
  <c r="D118" i="6"/>
  <c r="D135" i="6" s="1"/>
  <c r="C99" i="6"/>
  <c r="E116" i="6"/>
  <c r="E133" i="6" s="1"/>
  <c r="F116" i="6"/>
  <c r="F133" i="6" s="1"/>
  <c r="D116" i="6"/>
  <c r="D133" i="6" s="1"/>
  <c r="C98" i="6"/>
  <c r="D115" i="6"/>
  <c r="D132" i="6" s="1"/>
  <c r="E115" i="6"/>
  <c r="E132" i="6" s="1"/>
  <c r="F115" i="6"/>
  <c r="F132" i="6" s="1"/>
  <c r="C121" i="6"/>
  <c r="C104" i="6"/>
  <c r="F121" i="6"/>
  <c r="F138" i="6" s="1"/>
  <c r="E121" i="6"/>
  <c r="E138" i="6" s="1"/>
  <c r="D121" i="6"/>
  <c r="D138" i="6" s="1"/>
  <c r="C100" i="6"/>
  <c r="E117" i="6"/>
  <c r="E134" i="6" s="1"/>
  <c r="D117" i="6"/>
  <c r="D134" i="6" s="1"/>
  <c r="F117" i="6"/>
  <c r="F134" i="6" s="1"/>
  <c r="F112" i="6"/>
  <c r="F129" i="6" s="1"/>
  <c r="F29" i="8"/>
  <c r="F30" i="8" s="1"/>
  <c r="D61" i="6"/>
  <c r="D102" i="6" s="1"/>
  <c r="D119" i="6" s="1"/>
  <c r="D136" i="6" s="1"/>
  <c r="C61" i="6"/>
  <c r="C102" i="6" s="1"/>
  <c r="C119" i="6" s="1"/>
  <c r="C136" i="6" s="1"/>
  <c r="F61" i="6"/>
  <c r="F102" i="6" s="1"/>
  <c r="F119" i="6" s="1"/>
  <c r="F136" i="6" s="1"/>
  <c r="E61" i="6"/>
  <c r="E102" i="6" s="1"/>
  <c r="E119" i="6" s="1"/>
  <c r="G29" i="8"/>
  <c r="G30" i="8" s="1"/>
  <c r="G31" i="8" s="1"/>
  <c r="G38" i="8"/>
  <c r="G39" i="8" s="1"/>
  <c r="G40" i="8" s="1"/>
  <c r="E136" i="6" l="1"/>
  <c r="C117" i="6"/>
  <c r="C134" i="6"/>
  <c r="F146" i="6"/>
  <c r="E148" i="6"/>
  <c r="F147" i="6"/>
  <c r="F159" i="6"/>
  <c r="E156" i="6"/>
  <c r="E158" i="6"/>
  <c r="F157" i="6"/>
  <c r="C115" i="6"/>
  <c r="C132" i="6" s="1"/>
  <c r="C118" i="6"/>
  <c r="C135" i="6"/>
  <c r="C112" i="6"/>
  <c r="E149" i="6" s="1"/>
  <c r="D7" i="9" s="1"/>
  <c r="C129" i="6"/>
  <c r="C113" i="6"/>
  <c r="C130" i="6"/>
  <c r="G157" i="6"/>
  <c r="F158" i="6"/>
  <c r="G146" i="6"/>
  <c r="G159" i="6"/>
  <c r="G147" i="6"/>
  <c r="F156" i="6"/>
  <c r="E22" i="9" s="1"/>
  <c r="F148" i="6"/>
  <c r="F149" i="6"/>
  <c r="G158" i="6"/>
  <c r="G156" i="6"/>
  <c r="G148" i="6"/>
  <c r="G149" i="6"/>
  <c r="C138" i="6"/>
  <c r="C140" i="6"/>
  <c r="C116" i="6"/>
  <c r="C133" i="6"/>
  <c r="C114" i="6"/>
  <c r="C131" i="6" s="1"/>
  <c r="C122" i="6"/>
  <c r="C139" i="6" s="1"/>
  <c r="F150" i="6"/>
  <c r="F151" i="6" s="1"/>
  <c r="E23" i="9"/>
  <c r="F7" i="9"/>
  <c r="E7" i="9"/>
  <c r="F22" i="9"/>
  <c r="E6" i="9"/>
  <c r="G160" i="6"/>
  <c r="G161" i="6" s="1"/>
  <c r="G150" i="6"/>
  <c r="G151" i="6" s="1"/>
  <c r="F23" i="9"/>
  <c r="F6" i="9"/>
  <c r="E147" i="6" l="1"/>
  <c r="E146" i="6"/>
  <c r="E159" i="6"/>
  <c r="D23" i="9" s="1"/>
  <c r="E157" i="6"/>
  <c r="E160" i="6" s="1"/>
  <c r="E161" i="6" s="1"/>
  <c r="G162" i="6" s="1"/>
  <c r="F160" i="6"/>
  <c r="F161" i="6" s="1"/>
  <c r="E24" i="9"/>
  <c r="E25" i="9" s="1"/>
  <c r="F8" i="9"/>
  <c r="F9" i="9" s="1"/>
  <c r="F24" i="9"/>
  <c r="F25" i="9" s="1"/>
  <c r="E8" i="9"/>
  <c r="E15" i="9" s="1"/>
  <c r="E16" i="9" s="1"/>
  <c r="E17" i="9" s="1"/>
  <c r="D22" i="9" l="1"/>
  <c r="D24" i="9" s="1"/>
  <c r="D25" i="9" s="1"/>
  <c r="E150" i="6"/>
  <c r="E151" i="6" s="1"/>
  <c r="G152" i="6" s="1"/>
  <c r="D6" i="9"/>
  <c r="D8" i="9" s="1"/>
  <c r="D15" i="9" s="1"/>
  <c r="D16" i="9" s="1"/>
  <c r="D17" i="9" s="1"/>
  <c r="F26" i="9"/>
  <c r="C6" i="3" s="1"/>
  <c r="E6" i="3" s="1"/>
  <c r="F15" i="9"/>
  <c r="F16" i="9" s="1"/>
  <c r="F17" i="9" s="1"/>
  <c r="F18" i="9" s="1"/>
  <c r="C5" i="3" s="1"/>
  <c r="E5" i="3" s="1"/>
  <c r="E9" i="9"/>
  <c r="D9" i="9" l="1"/>
  <c r="F10" i="9"/>
  <c r="E7" i="3"/>
</calcChain>
</file>

<file path=xl/sharedStrings.xml><?xml version="1.0" encoding="utf-8"?>
<sst xmlns="http://schemas.openxmlformats.org/spreadsheetml/2006/main" count="415" uniqueCount="181">
  <si>
    <t>Año</t>
  </si>
  <si>
    <t xml:space="preserve">Cantidades </t>
  </si>
  <si>
    <t>Concepto</t>
  </si>
  <si>
    <t>Empresa</t>
  </si>
  <si>
    <t>Economía</t>
  </si>
  <si>
    <t>Diferencia</t>
  </si>
  <si>
    <t>PTF</t>
  </si>
  <si>
    <t>Precios Insumos</t>
  </si>
  <si>
    <t>Factor X</t>
  </si>
  <si>
    <t xml:space="preserve">IPM </t>
  </si>
  <si>
    <t>TC Promedio Anual</t>
  </si>
  <si>
    <t>Devaluación</t>
  </si>
  <si>
    <t>Fuente: INEI, BCRP</t>
  </si>
  <si>
    <t>IPC</t>
  </si>
  <si>
    <t>IPC (Base Diciembre 2011 = 100)</t>
  </si>
  <si>
    <t xml:space="preserve">Tipo de cambio promedio </t>
  </si>
  <si>
    <t>Inflación (IPC)</t>
  </si>
  <si>
    <t>Indice de precios IPC ($)</t>
  </si>
  <si>
    <t>Indice de precios IPC (S/.), 2014</t>
  </si>
  <si>
    <t>Item</t>
  </si>
  <si>
    <t>Servicio</t>
  </si>
  <si>
    <t xml:space="preserve">Servicio estándar (Regulados) </t>
  </si>
  <si>
    <t xml:space="preserve"> </t>
  </si>
  <si>
    <t>A la nave</t>
  </si>
  <si>
    <t>Cantidades</t>
  </si>
  <si>
    <t>Cantidades Laspeyres</t>
  </si>
  <si>
    <t>Numerador</t>
  </si>
  <si>
    <t>Denominador</t>
  </si>
  <si>
    <t>Cantidades Paasche</t>
  </si>
  <si>
    <t>Índice Fisher</t>
  </si>
  <si>
    <t>Variación Output</t>
  </si>
  <si>
    <t xml:space="preserve">PROMEDIO </t>
  </si>
  <si>
    <t>Planilla</t>
  </si>
  <si>
    <t>Anualidad</t>
  </si>
  <si>
    <t>WACC</t>
  </si>
  <si>
    <t xml:space="preserve">Inflación para el periodo (IPC)  </t>
  </si>
  <si>
    <t xml:space="preserve">Gastos totales  </t>
  </si>
  <si>
    <t xml:space="preserve">Horas - Hombre </t>
  </si>
  <si>
    <t xml:space="preserve">Cantidad </t>
  </si>
  <si>
    <t xml:space="preserve">Variación Precios </t>
  </si>
  <si>
    <t>Total Gasto Materiales</t>
  </si>
  <si>
    <t>Cantidades Materiales</t>
  </si>
  <si>
    <t xml:space="preserve">Tasa de impuesto a la renta  </t>
  </si>
  <si>
    <t>Precio Implícito del Capital (Christensen)</t>
  </si>
  <si>
    <t xml:space="preserve">Inversión </t>
  </si>
  <si>
    <t xml:space="preserve">Depreciación </t>
  </si>
  <si>
    <t>Valor Nominal Implícito</t>
  </si>
  <si>
    <t xml:space="preserve">Precios </t>
  </si>
  <si>
    <t>Simulaciones (Impacto en puntos porcentuales)</t>
  </si>
  <si>
    <t>Variación de las Cantidades de Insumos en el TPC</t>
  </si>
  <si>
    <t>Índices de Cantidades de los Insumos</t>
  </si>
  <si>
    <t>Índice de Cantidades Laspeyres</t>
  </si>
  <si>
    <t>Índice de Cantidades Paasche</t>
  </si>
  <si>
    <t>Índice de Cantidades de Insumos Fisher</t>
  </si>
  <si>
    <t>Variación Índice Insumos</t>
  </si>
  <si>
    <t xml:space="preserve">Promedio </t>
  </si>
  <si>
    <t>Productividad de la Empresa</t>
  </si>
  <si>
    <t>Índice Agregado de Insumos</t>
  </si>
  <si>
    <t>Índice Cantidades Output Fisher</t>
  </si>
  <si>
    <t>Índice Cantidades Input Fisher</t>
  </si>
  <si>
    <t>Fisher</t>
  </si>
  <si>
    <t>PTF de la Empresa</t>
  </si>
  <si>
    <t>Índice de Precios de Insumos de la Empresa</t>
  </si>
  <si>
    <t>Precio de Insumos de la Empresa</t>
  </si>
  <si>
    <t>Índice de precios Laspeyres</t>
  </si>
  <si>
    <t>Índice de precios Paasche</t>
  </si>
  <si>
    <t>Índice de Fisher de Precios de Insumos</t>
  </si>
  <si>
    <t>Índice de Precios de la Empresa</t>
  </si>
  <si>
    <t>SI</t>
  </si>
  <si>
    <t>NO</t>
  </si>
  <si>
    <t>Inversión acumulada (En USD)</t>
  </si>
  <si>
    <t>A la carga</t>
  </si>
  <si>
    <t>Ingresos de los servicios a precios implicitos del año</t>
  </si>
  <si>
    <t>Año proforma</t>
  </si>
  <si>
    <t>Año Base 2014</t>
  </si>
  <si>
    <t>Inversiones reconocidas</t>
  </si>
  <si>
    <t>Anualidad hasta 2030</t>
  </si>
  <si>
    <t>Stock de capital (al 31 de diciembre) 2014-2018</t>
  </si>
  <si>
    <t>Anualizar inversiones</t>
  </si>
  <si>
    <t>Var. Precios Insumos Economía</t>
  </si>
  <si>
    <t>Cantidades de Capital</t>
  </si>
  <si>
    <t>Precio</t>
  </si>
  <si>
    <t>WACC 1</t>
  </si>
  <si>
    <t>Revisión Tarifaria en el año 2018</t>
  </si>
  <si>
    <t>IPME Lima Metropolitana</t>
  </si>
  <si>
    <t>Tasa Libre de Riesgo (T-Bonds 10yr)</t>
  </si>
  <si>
    <t>Retorno de Mercado (S&amp;P500)</t>
  </si>
  <si>
    <t xml:space="preserve">T.Bonds </t>
  </si>
  <si>
    <t>T.Bonds</t>
  </si>
  <si>
    <t xml:space="preserve">Year  </t>
  </si>
  <si>
    <t xml:space="preserve">Stocks  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</si>
  <si>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</si>
  <si>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</si>
  <si>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</si>
  <si>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</si>
  <si>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</si>
  <si>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</si>
  <si>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</si>
  <si>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</si>
  <si>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</si>
  <si>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</si>
  <si>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</si>
  <si>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</si>
  <si>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</si>
  <si>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</si>
  <si>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Fuente: BCRP</t>
  </si>
  <si>
    <t xml:space="preserve"> Índice de Bonos de Mercados Emergentes (EMBIG)  </t>
  </si>
  <si>
    <t>Inflación para el periodo (IPM / IPME)</t>
  </si>
  <si>
    <t>Ingresos modelo IP</t>
  </si>
  <si>
    <t>IPM para gasto en materiales</t>
  </si>
  <si>
    <t xml:space="preserve">Tipo de cambio (a partir de 2017)  </t>
  </si>
  <si>
    <t>Beta Desapalancado</t>
  </si>
  <si>
    <t>Precio Unitario del Capital Normalizado al año 2014</t>
  </si>
  <si>
    <t>Variación Input</t>
  </si>
  <si>
    <t>Costo de la deuda</t>
  </si>
  <si>
    <t>IPM en dolares</t>
  </si>
  <si>
    <t>Concesión a 30años</t>
  </si>
  <si>
    <t xml:space="preserve">IPM en dólares </t>
  </si>
  <si>
    <t>Concesión a 30 años</t>
  </si>
  <si>
    <t>En todos los escenarios</t>
  </si>
  <si>
    <t>Escenario 3</t>
  </si>
  <si>
    <t>Escenario 4</t>
  </si>
  <si>
    <t xml:space="preserve">Muestra de puertos comparables </t>
  </si>
  <si>
    <t>Puerto</t>
  </si>
  <si>
    <t>Santos</t>
  </si>
  <si>
    <t>Estructura de Deuda (Deuda / Capital)</t>
  </si>
  <si>
    <t>Tasas impositivas</t>
  </si>
  <si>
    <t>Fuente: Bloomberg</t>
  </si>
  <si>
    <t xml:space="preserve">Beta Promedio Simple </t>
  </si>
  <si>
    <t>Beta Promedio Simple</t>
  </si>
  <si>
    <t xml:space="preserve">Beta apalancado </t>
  </si>
  <si>
    <t>Beta Promedio</t>
  </si>
  <si>
    <r>
      <t>Tasa libre de riesgo (r</t>
    </r>
    <r>
      <rPr>
        <vertAlign val="subscript"/>
        <sz val="9"/>
        <color indexed="8"/>
        <rFont val="DIN Pro Light"/>
        <family val="2"/>
      </rPr>
      <t>f</t>
    </r>
    <r>
      <rPr>
        <sz val="9"/>
        <color indexed="8"/>
        <rFont val="DIN Pro Light"/>
        <family val="2"/>
      </rPr>
      <t>)</t>
    </r>
  </si>
  <si>
    <r>
      <t>Prima por riesgo (R</t>
    </r>
    <r>
      <rPr>
        <vertAlign val="subscript"/>
        <sz val="9"/>
        <color indexed="8"/>
        <rFont val="DIN Pro Light"/>
        <family val="2"/>
      </rPr>
      <t>m</t>
    </r>
    <r>
      <rPr>
        <sz val="9"/>
        <color indexed="8"/>
        <rFont val="DIN Pro Light"/>
        <family val="2"/>
      </rPr>
      <t xml:space="preserve"> - r</t>
    </r>
    <r>
      <rPr>
        <vertAlign val="subscript"/>
        <sz val="9"/>
        <color indexed="8"/>
        <rFont val="DIN Pro Light"/>
        <family val="2"/>
      </rPr>
      <t>f</t>
    </r>
    <r>
      <rPr>
        <sz val="9"/>
        <color indexed="8"/>
        <rFont val="DIN Pro Light"/>
        <family val="2"/>
      </rPr>
      <t>)</t>
    </r>
  </si>
  <si>
    <r>
      <t>Riesgo país (r</t>
    </r>
    <r>
      <rPr>
        <vertAlign val="subscript"/>
        <sz val="9"/>
        <color indexed="8"/>
        <rFont val="DIN Pro Light"/>
        <family val="2"/>
      </rPr>
      <t>país</t>
    </r>
    <r>
      <rPr>
        <sz val="9"/>
        <color indexed="8"/>
        <rFont val="DIN Pro Light"/>
        <family val="2"/>
      </rPr>
      <t>)</t>
    </r>
  </si>
  <si>
    <r>
      <t>Retorno del patrimonio - COK (r</t>
    </r>
    <r>
      <rPr>
        <vertAlign val="subscript"/>
        <sz val="9"/>
        <color indexed="9"/>
        <rFont val="DIN Pro Light"/>
        <family val="2"/>
      </rPr>
      <t>E</t>
    </r>
    <r>
      <rPr>
        <sz val="9"/>
        <color indexed="9"/>
        <rFont val="DIN Pro Light"/>
        <family val="2"/>
      </rPr>
      <t>)</t>
    </r>
  </si>
  <si>
    <r>
      <t>Costo de deuda promedio ponderado (r</t>
    </r>
    <r>
      <rPr>
        <vertAlign val="subscript"/>
        <sz val="9"/>
        <color indexed="8"/>
        <rFont val="DIN Pro Light"/>
        <family val="2"/>
      </rPr>
      <t>D</t>
    </r>
    <r>
      <rPr>
        <sz val="9"/>
        <color indexed="8"/>
        <rFont val="DIN Pro Light"/>
        <family val="2"/>
      </rPr>
      <t>)</t>
    </r>
  </si>
  <si>
    <t>Deuda/ Total de Activos (D/D+E)</t>
  </si>
  <si>
    <t>Patrimonio / Total de Activos (E/D+E)</t>
  </si>
  <si>
    <t>Tasa de impuesto Efectiva (t)</t>
  </si>
  <si>
    <t>CPPP (WACC)</t>
  </si>
  <si>
    <t>Costo de capital propio</t>
  </si>
  <si>
    <t>SAAM</t>
  </si>
  <si>
    <t>Gujarat Pipavat Holding</t>
  </si>
  <si>
    <t>Northland Port Corp.</t>
  </si>
  <si>
    <t>Port of Tauranga</t>
  </si>
  <si>
    <t>South Port New Zeland</t>
  </si>
  <si>
    <t>Activo fijo</t>
  </si>
  <si>
    <t>a. Terrenos</t>
  </si>
  <si>
    <t>b. Edificios e instalaciones</t>
  </si>
  <si>
    <t>c. Maquinaria y equipo de explotación</t>
  </si>
  <si>
    <t>d. Muebles y enseres</t>
  </si>
  <si>
    <t>e. Equipos de cómputo</t>
  </si>
  <si>
    <t>f.  Otros equipos</t>
  </si>
  <si>
    <t>g. Unidades de transporte</t>
  </si>
  <si>
    <t>Activo intangible</t>
  </si>
  <si>
    <t>a. Repuestos críticos</t>
  </si>
  <si>
    <t>b. Licencias</t>
  </si>
  <si>
    <t>c. Software</t>
  </si>
  <si>
    <t>Anualidad de la inversión reconocida</t>
  </si>
  <si>
    <t>Inversiones - EE.FF.</t>
  </si>
  <si>
    <t>Muestra de puertos</t>
  </si>
  <si>
    <t>Prospectivo</t>
  </si>
  <si>
    <t>WACC Prospectivo</t>
  </si>
  <si>
    <t xml:space="preserve">Betas Bloomberg (Adjusted beta) </t>
  </si>
  <si>
    <t>Años de vida útil</t>
  </si>
  <si>
    <t>Indice de precios IPM (S/) - INEI base 2014</t>
  </si>
  <si>
    <t>Indice de precios IPM ($) - INEI</t>
  </si>
  <si>
    <t>Inflación (IPM) - INEI</t>
  </si>
  <si>
    <t>Indice de precios IPM (S/.) - INEI</t>
  </si>
  <si>
    <t>IPM (promedio anual) - INEI</t>
  </si>
  <si>
    <t>Ingresos operativos netos</t>
  </si>
  <si>
    <t>Gasto por Mano de Obra (a precios implícitos 2015)</t>
  </si>
  <si>
    <t>Precio relativo año 2015</t>
  </si>
  <si>
    <t>Total gasto en materiales</t>
  </si>
  <si>
    <t>Gasto Materiales (A precios implícitos 2015)</t>
  </si>
  <si>
    <t>Promedio de Cantidades de Capital</t>
  </si>
  <si>
    <t>Promedio</t>
  </si>
  <si>
    <t>PTF Consejo Fiscal</t>
  </si>
  <si>
    <t>Precios relativos de los servicios respecto al 2015</t>
  </si>
  <si>
    <t>Costo de Capital a Precios implícitos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</si>
</sst>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0.0%"/>
    <numFmt numFmtId="166" formatCode="0.00_)"/>
    <numFmt numFmtId="167" formatCode="_-* #,##0\ _€_-;\-* #,##0\ _€_-;_-* &quot;-&quot;??\ _€_-;_-@_-"/>
    <numFmt numFmtId="168" formatCode="#,##0.0_%_);\(#,##0.0\)_%;#,##0.0_%_);@_%_)"/>
    <numFmt numFmtId="169" formatCode="0_ ;\-0\ "/>
    <numFmt numFmtId="170" formatCode="_-* #,##0_-;\-* #,##0_-;_-* &quot;-&quot;??_-;_-@_-"/>
    <numFmt numFmtId="171" formatCode="&quot;S/.&quot;\ #,##0_);\(&quot;S/.&quot;\ #,##0\)"/>
    <numFmt numFmtId="172" formatCode="0.0_)"/>
    <numFmt numFmtId="173" formatCode="_ [$€-2]* #,##0.00_ ;_ [$€-2]* \-#,##0.00_ ;_ [$€-2]* &quot;-&quot;??_ "/>
    <numFmt numFmtId="174" formatCode="0.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DIN Pro Light"/>
      <family val="2"/>
    </font>
    <font>
      <sz val="10"/>
      <name val="Arial"/>
      <family val="2"/>
    </font>
    <font>
      <b/>
      <sz val="11"/>
      <color theme="1"/>
      <name val="DIN Pro Light"/>
      <family val="2"/>
    </font>
    <font>
      <b/>
      <sz val="11"/>
      <name val="DIN Pro Light"/>
      <family val="2"/>
    </font>
    <font>
      <b/>
      <sz val="11"/>
      <color indexed="9"/>
      <name val="DIN Pro Light"/>
      <family val="2"/>
    </font>
    <font>
      <b/>
      <sz val="11"/>
      <color indexed="8"/>
      <name val="DIN Pro Light"/>
      <family val="2"/>
    </font>
    <font>
      <b/>
      <sz val="10"/>
      <name val="Arial"/>
      <family val="2"/>
    </font>
    <font>
      <sz val="11"/>
      <name val="DIN Pro Light"/>
      <family val="2"/>
    </font>
    <font>
      <b/>
      <sz val="11"/>
      <color theme="0"/>
      <name val="DIN Pro Light"/>
      <family val="2"/>
    </font>
    <font>
      <sz val="9"/>
      <name val="Helvetica-Black"/>
    </font>
    <font>
      <sz val="11"/>
      <color indexed="8"/>
      <name val="DIN Pro Light"/>
      <family val="2"/>
    </font>
    <font>
      <sz val="11"/>
      <color theme="0"/>
      <name val="DIN Pro Light"/>
      <family val="2"/>
    </font>
    <font>
      <b/>
      <sz val="11"/>
      <color theme="3"/>
      <name val="DIN Pro Light"/>
      <family val="2"/>
    </font>
    <font>
      <b/>
      <sz val="11"/>
      <color indexed="53"/>
      <name val="DIN Pro Light"/>
      <family val="2"/>
    </font>
    <font>
      <sz val="11"/>
      <color indexed="9"/>
      <name val="DIN Pro Light"/>
      <family val="2"/>
    </font>
    <font>
      <b/>
      <sz val="11"/>
      <color indexed="56"/>
      <name val="DIN Pro Light"/>
      <family val="2"/>
    </font>
    <font>
      <b/>
      <u/>
      <sz val="16"/>
      <color theme="1"/>
      <name val="DIN Pro"/>
      <family val="2"/>
    </font>
    <font>
      <sz val="9"/>
      <name val="DIN Pro Light"/>
      <family val="2"/>
    </font>
    <font>
      <sz val="9"/>
      <color theme="1"/>
      <name val="DIN Pro Light"/>
      <family val="2"/>
    </font>
    <font>
      <b/>
      <sz val="9"/>
      <color theme="1"/>
      <name val="DIN Pro Light"/>
      <family val="2"/>
    </font>
    <font>
      <b/>
      <sz val="9"/>
      <color indexed="8"/>
      <name val="DIN Pro Light"/>
      <family val="2"/>
    </font>
    <font>
      <b/>
      <sz val="9"/>
      <color indexed="9"/>
      <name val="DIN Pro Light"/>
      <family val="2"/>
    </font>
    <font>
      <sz val="9"/>
      <color indexed="8"/>
      <name val="DIN Pro Light"/>
      <family val="2"/>
    </font>
    <font>
      <vertAlign val="subscript"/>
      <sz val="9"/>
      <color indexed="8"/>
      <name val="DIN Pro Light"/>
      <family val="2"/>
    </font>
    <font>
      <sz val="9"/>
      <color indexed="9"/>
      <name val="DIN Pro Light"/>
      <family val="2"/>
    </font>
    <font>
      <vertAlign val="subscript"/>
      <sz val="9"/>
      <color indexed="9"/>
      <name val="DIN Pro Light"/>
      <family val="2"/>
    </font>
    <font>
      <b/>
      <sz val="9"/>
      <name val="DIN Pro Light"/>
      <family val="2"/>
    </font>
  </fonts>
  <fills count="12">
    <fill>
      <patternFill patternType="none"/>
    </fill>
    <fill>
      <patternFill patternType="gray125"/>
    </fill>
    <fill>
      <patternFill patternType="solid">
        <fgColor rgb="FF00A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2373B9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Fill="0" applyBorder="0" applyProtection="0">
      <alignment horizontal="left"/>
    </xf>
    <xf numFmtId="9" fontId="3" fillId="0" borderId="0" applyFont="0" applyFill="0" applyBorder="0" applyAlignment="0" applyProtection="0"/>
    <xf numFmtId="168" fontId="8" fillId="0" borderId="0" applyFont="0" applyFill="0" applyBorder="0" applyAlignment="0" applyProtection="0">
      <alignment horizontal="right"/>
    </xf>
    <xf numFmtId="0" fontId="1" fillId="0" borderId="0"/>
    <xf numFmtId="0" fontId="1" fillId="0" borderId="0"/>
    <xf numFmtId="171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/>
    <xf numFmtId="173" fontId="1" fillId="0" borderId="0"/>
    <xf numFmtId="173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11" applyFont="1" applyAlignment="1">
      <alignment horizontal="center"/>
    </xf>
    <xf numFmtId="0" fontId="2" fillId="0" borderId="0" xfId="11" applyFont="1"/>
    <xf numFmtId="167" fontId="2" fillId="0" borderId="0" xfId="2" applyNumberFormat="1" applyFont="1"/>
    <xf numFmtId="167" fontId="9" fillId="0" borderId="0" xfId="6" applyNumberFormat="1" applyFont="1"/>
    <xf numFmtId="167" fontId="2" fillId="0" borderId="0" xfId="6" applyNumberFormat="1" applyFont="1"/>
    <xf numFmtId="43" fontId="2" fillId="0" borderId="0" xfId="6" applyNumberFormat="1" applyFont="1" applyAlignment="1">
      <alignment horizontal="center"/>
    </xf>
    <xf numFmtId="9" fontId="2" fillId="0" borderId="0" xfId="6" applyNumberFormat="1" applyFont="1" applyAlignment="1">
      <alignment horizontal="center"/>
    </xf>
    <xf numFmtId="9" fontId="2" fillId="0" borderId="0" xfId="6" applyNumberFormat="1" applyFont="1"/>
    <xf numFmtId="9" fontId="2" fillId="0" borderId="0" xfId="1" applyFont="1"/>
    <xf numFmtId="0" fontId="2" fillId="0" borderId="0" xfId="0" applyFont="1" applyAlignment="1">
      <alignment vertical="center"/>
    </xf>
    <xf numFmtId="3" fontId="2" fillId="0" borderId="0" xfId="0" applyNumberFormat="1" applyFont="1"/>
    <xf numFmtId="0" fontId="10" fillId="2" borderId="2" xfId="0" applyFont="1" applyFill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10" fontId="7" fillId="0" borderId="2" xfId="1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2" xfId="0" applyFont="1" applyBorder="1"/>
    <xf numFmtId="10" fontId="2" fillId="0" borderId="2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0" borderId="2" xfId="0" applyFont="1" applyBorder="1"/>
    <xf numFmtId="4" fontId="9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6" fillId="6" borderId="2" xfId="0" applyFont="1" applyFill="1" applyBorder="1" applyAlignment="1">
      <alignment horizontal="left" vertical="center" wrapText="1"/>
    </xf>
    <xf numFmtId="165" fontId="5" fillId="0" borderId="2" xfId="1" applyNumberFormat="1" applyFont="1" applyBorder="1" applyAlignment="1">
      <alignment horizontal="center" vertical="center"/>
    </xf>
    <xf numFmtId="0" fontId="10" fillId="8" borderId="5" xfId="0" applyFont="1" applyFill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center" vertical="center" wrapText="1"/>
    </xf>
    <xf numFmtId="167" fontId="2" fillId="0" borderId="0" xfId="11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/>
    <xf numFmtId="9" fontId="13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3" fillId="0" borderId="0" xfId="0" applyFont="1"/>
    <xf numFmtId="0" fontId="4" fillId="0" borderId="0" xfId="0" applyFont="1" applyAlignment="1">
      <alignment horizontal="center"/>
    </xf>
    <xf numFmtId="9" fontId="4" fillId="0" borderId="0" xfId="6" applyNumberFormat="1" applyFont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10" fontId="13" fillId="0" borderId="0" xfId="0" applyNumberFormat="1" applyFo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165" fontId="9" fillId="0" borderId="2" xfId="3" applyNumberFormat="1" applyFont="1" applyBorder="1" applyAlignment="1">
      <alignment horizontal="center" vertical="center" wrapText="1"/>
    </xf>
    <xf numFmtId="10" fontId="6" fillId="3" borderId="9" xfId="3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165" fontId="9" fillId="0" borderId="3" xfId="3" applyNumberFormat="1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10" fontId="15" fillId="0" borderId="2" xfId="7" applyNumberFormat="1" applyFont="1" applyBorder="1" applyAlignment="1">
      <alignment horizontal="center"/>
    </xf>
    <xf numFmtId="169" fontId="10" fillId="2" borderId="7" xfId="6" applyNumberFormat="1" applyFont="1" applyFill="1" applyBorder="1" applyAlignment="1">
      <alignment horizontal="center" vertical="center"/>
    </xf>
    <xf numFmtId="167" fontId="10" fillId="2" borderId="2" xfId="6" applyNumberFormat="1" applyFont="1" applyFill="1" applyBorder="1" applyAlignment="1">
      <alignment horizontal="left" wrapText="1"/>
    </xf>
    <xf numFmtId="167" fontId="10" fillId="2" borderId="2" xfId="6" applyNumberFormat="1" applyFont="1" applyFill="1" applyBorder="1" applyAlignment="1">
      <alignment horizontal="left"/>
    </xf>
    <xf numFmtId="0" fontId="6" fillId="2" borderId="2" xfId="5" applyFont="1" applyFill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67" fontId="2" fillId="0" borderId="2" xfId="6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3" fontId="9" fillId="0" borderId="12" xfId="0" applyNumberFormat="1" applyFont="1" applyBorder="1" applyAlignment="1">
      <alignment horizontal="center" vertical="center"/>
    </xf>
    <xf numFmtId="0" fontId="2" fillId="9" borderId="9" xfId="0" applyFont="1" applyFill="1" applyBorder="1"/>
    <xf numFmtId="3" fontId="2" fillId="9" borderId="8" xfId="0" applyNumberFormat="1" applyFont="1" applyFill="1" applyBorder="1" applyAlignment="1">
      <alignment horizontal="center"/>
    </xf>
    <xf numFmtId="10" fontId="2" fillId="9" borderId="8" xfId="1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0" fontId="10" fillId="2" borderId="2" xfId="0" applyFont="1" applyFill="1" applyBorder="1"/>
    <xf numFmtId="167" fontId="2" fillId="0" borderId="2" xfId="6" applyNumberFormat="1" applyFont="1" applyBorder="1" applyAlignment="1">
      <alignment horizontal="left" vertical="center"/>
    </xf>
    <xf numFmtId="167" fontId="2" fillId="0" borderId="2" xfId="6" applyNumberFormat="1" applyFont="1" applyBorder="1" applyAlignment="1">
      <alignment horizontal="center"/>
    </xf>
    <xf numFmtId="170" fontId="2" fillId="0" borderId="2" xfId="6" applyNumberFormat="1" applyFont="1" applyBorder="1" applyAlignment="1">
      <alignment horizontal="center" vertical="center"/>
    </xf>
    <xf numFmtId="43" fontId="2" fillId="0" borderId="2" xfId="6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/>
    <xf numFmtId="165" fontId="4" fillId="0" borderId="2" xfId="1" applyNumberFormat="1" applyFont="1" applyBorder="1" applyAlignment="1">
      <alignment horizontal="center"/>
    </xf>
    <xf numFmtId="0" fontId="17" fillId="4" borderId="2" xfId="4" applyFont="1" applyFill="1" applyBorder="1" applyAlignment="1">
      <alignment horizontal="center"/>
    </xf>
    <xf numFmtId="0" fontId="6" fillId="2" borderId="2" xfId="4" applyFont="1" applyFill="1" applyBorder="1" applyAlignment="1">
      <alignment horizontal="center"/>
    </xf>
    <xf numFmtId="0" fontId="6" fillId="5" borderId="2" xfId="4" applyFont="1" applyFill="1" applyBorder="1" applyAlignment="1">
      <alignment horizontal="center"/>
    </xf>
    <xf numFmtId="172" fontId="9" fillId="4" borderId="2" xfId="4" applyNumberFormat="1" applyFont="1" applyFill="1" applyBorder="1" applyAlignment="1">
      <alignment horizontal="center"/>
    </xf>
    <xf numFmtId="166" fontId="9" fillId="4" borderId="2" xfId="4" applyNumberFormat="1" applyFont="1" applyFill="1" applyBorder="1" applyAlignment="1">
      <alignment horizontal="center"/>
    </xf>
    <xf numFmtId="10" fontId="12" fillId="0" borderId="2" xfId="1" applyNumberFormat="1" applyFont="1" applyBorder="1" applyAlignment="1">
      <alignment horizontal="center"/>
    </xf>
    <xf numFmtId="9" fontId="12" fillId="0" borderId="2" xfId="1" applyFont="1" applyBorder="1" applyAlignment="1">
      <alignment horizontal="center"/>
    </xf>
    <xf numFmtId="0" fontId="7" fillId="0" borderId="0" xfId="0" applyFont="1"/>
    <xf numFmtId="9" fontId="16" fillId="0" borderId="0" xfId="0" applyNumberFormat="1" applyFont="1"/>
    <xf numFmtId="172" fontId="1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166" fontId="0" fillId="0" borderId="0" xfId="0" applyNumberFormat="1"/>
    <xf numFmtId="173" fontId="21" fillId="0" borderId="0" xfId="15" applyFont="1"/>
    <xf numFmtId="173" fontId="20" fillId="0" borderId="0" xfId="15" applyFont="1"/>
    <xf numFmtId="173" fontId="22" fillId="0" borderId="0" xfId="16" applyFont="1" applyAlignment="1">
      <alignment horizontal="left"/>
    </xf>
    <xf numFmtId="14" fontId="20" fillId="0" borderId="0" xfId="15" applyNumberFormat="1" applyFont="1"/>
    <xf numFmtId="3" fontId="23" fillId="2" borderId="2" xfId="17" applyNumberFormat="1" applyFont="1" applyFill="1" applyBorder="1" applyAlignment="1">
      <alignment horizontal="left" vertical="center" wrapText="1"/>
    </xf>
    <xf numFmtId="1" fontId="23" fillId="2" borderId="2" xfId="13" applyNumberFormat="1" applyFont="1" applyFill="1" applyBorder="1" applyAlignment="1">
      <alignment horizontal="center" vertical="center"/>
    </xf>
    <xf numFmtId="1" fontId="23" fillId="2" borderId="2" xfId="17" applyNumberFormat="1" applyFont="1" applyFill="1" applyBorder="1" applyAlignment="1">
      <alignment horizontal="center" vertical="center" wrapText="1"/>
    </xf>
    <xf numFmtId="173" fontId="20" fillId="0" borderId="2" xfId="15" applyFont="1" applyBorder="1"/>
    <xf numFmtId="2" fontId="20" fillId="0" borderId="2" xfId="15" applyNumberFormat="1" applyFont="1" applyBorder="1" applyAlignment="1">
      <alignment horizontal="center"/>
    </xf>
    <xf numFmtId="2" fontId="21" fillId="0" borderId="2" xfId="15" applyNumberFormat="1" applyFont="1" applyBorder="1" applyAlignment="1">
      <alignment horizontal="center"/>
    </xf>
    <xf numFmtId="2" fontId="20" fillId="0" borderId="0" xfId="15" applyNumberFormat="1" applyFont="1" applyAlignment="1">
      <alignment horizontal="center"/>
    </xf>
    <xf numFmtId="9" fontId="20" fillId="0" borderId="2" xfId="1" applyFont="1" applyBorder="1" applyAlignment="1">
      <alignment horizontal="center"/>
    </xf>
    <xf numFmtId="173" fontId="22" fillId="0" borderId="0" xfId="16" applyFont="1"/>
    <xf numFmtId="173" fontId="24" fillId="0" borderId="2" xfId="16" applyFont="1" applyBorder="1" applyAlignment="1">
      <alignment horizontal="left"/>
    </xf>
    <xf numFmtId="174" fontId="24" fillId="0" borderId="2" xfId="16" applyNumberFormat="1" applyFont="1" applyBorder="1" applyAlignment="1">
      <alignment horizontal="center"/>
    </xf>
    <xf numFmtId="10" fontId="24" fillId="9" borderId="2" xfId="14" applyNumberFormat="1" applyFont="1" applyFill="1" applyBorder="1" applyAlignment="1">
      <alignment horizontal="center"/>
    </xf>
    <xf numFmtId="173" fontId="26" fillId="2" borderId="2" xfId="16" applyFont="1" applyFill="1" applyBorder="1" applyAlignment="1">
      <alignment horizontal="left"/>
    </xf>
    <xf numFmtId="10" fontId="23" fillId="2" borderId="2" xfId="14" applyNumberFormat="1" applyFont="1" applyFill="1" applyBorder="1" applyAlignment="1">
      <alignment horizontal="center"/>
    </xf>
    <xf numFmtId="165" fontId="24" fillId="0" borderId="2" xfId="14" applyNumberFormat="1" applyFont="1" applyBorder="1" applyAlignment="1">
      <alignment horizontal="center"/>
    </xf>
    <xf numFmtId="9" fontId="24" fillId="0" borderId="2" xfId="14" applyFont="1" applyBorder="1" applyAlignment="1">
      <alignment horizontal="center"/>
    </xf>
    <xf numFmtId="10" fontId="24" fillId="0" borderId="2" xfId="14" applyNumberFormat="1" applyFont="1" applyBorder="1" applyAlignment="1">
      <alignment horizontal="center"/>
    </xf>
    <xf numFmtId="173" fontId="23" fillId="2" borderId="2" xfId="16" applyFont="1" applyFill="1" applyBorder="1" applyAlignment="1">
      <alignment horizontal="left"/>
    </xf>
    <xf numFmtId="3" fontId="23" fillId="2" borderId="0" xfId="17" applyNumberFormat="1" applyFont="1" applyFill="1" applyAlignment="1">
      <alignment horizontal="center" vertical="center" wrapText="1"/>
    </xf>
    <xf numFmtId="1" fontId="23" fillId="2" borderId="0" xfId="13" applyNumberFormat="1" applyFont="1" applyFill="1" applyAlignment="1">
      <alignment horizontal="center" vertical="center"/>
    </xf>
    <xf numFmtId="10" fontId="24" fillId="0" borderId="2" xfId="1" applyNumberFormat="1" applyFont="1" applyBorder="1" applyAlignment="1">
      <alignment horizontal="center"/>
    </xf>
    <xf numFmtId="3" fontId="20" fillId="0" borderId="0" xfId="15" applyNumberFormat="1" applyFont="1" applyAlignment="1">
      <alignment horizontal="center"/>
    </xf>
    <xf numFmtId="173" fontId="24" fillId="0" borderId="0" xfId="16" applyFont="1"/>
    <xf numFmtId="173" fontId="28" fillId="0" borderId="0" xfId="16" applyFont="1" applyAlignment="1">
      <alignment horizontal="left"/>
    </xf>
    <xf numFmtId="173" fontId="20" fillId="0" borderId="0" xfId="16" applyFont="1"/>
    <xf numFmtId="3" fontId="23" fillId="2" borderId="0" xfId="17" applyNumberFormat="1" applyFont="1" applyFill="1" applyAlignment="1">
      <alignment horizontal="left" vertical="center" wrapText="1"/>
    </xf>
    <xf numFmtId="0" fontId="22" fillId="0" borderId="2" xfId="16" applyNumberFormat="1" applyFont="1" applyBorder="1" applyAlignment="1">
      <alignment horizontal="center"/>
    </xf>
    <xf numFmtId="10" fontId="20" fillId="0" borderId="2" xfId="16" applyNumberFormat="1" applyFont="1" applyBorder="1" applyAlignment="1">
      <alignment horizontal="center"/>
    </xf>
    <xf numFmtId="2" fontId="24" fillId="0" borderId="2" xfId="16" applyNumberFormat="1" applyFont="1" applyBorder="1" applyAlignment="1">
      <alignment horizontal="center"/>
    </xf>
    <xf numFmtId="10" fontId="24" fillId="0" borderId="2" xfId="16" applyNumberFormat="1" applyFont="1" applyBorder="1" applyAlignment="1">
      <alignment horizontal="center"/>
    </xf>
    <xf numFmtId="43" fontId="24" fillId="0" borderId="2" xfId="18" applyFont="1" applyBorder="1" applyAlignment="1">
      <alignment horizontal="center"/>
    </xf>
    <xf numFmtId="10" fontId="24" fillId="0" borderId="0" xfId="16" applyNumberFormat="1" applyFont="1"/>
    <xf numFmtId="2" fontId="20" fillId="0" borderId="0" xfId="15" applyNumberFormat="1" applyFont="1"/>
    <xf numFmtId="4" fontId="24" fillId="0" borderId="2" xfId="16" applyNumberFormat="1" applyFont="1" applyBorder="1" applyAlignment="1">
      <alignment horizontal="center"/>
    </xf>
    <xf numFmtId="10" fontId="19" fillId="0" borderId="2" xfId="16" applyNumberFormat="1" applyFont="1" applyBorder="1" applyAlignment="1">
      <alignment horizontal="center"/>
    </xf>
    <xf numFmtId="0" fontId="22" fillId="2" borderId="2" xfId="16" applyNumberFormat="1" applyFont="1" applyFill="1" applyBorder="1" applyAlignment="1">
      <alignment horizontal="center"/>
    </xf>
    <xf numFmtId="10" fontId="19" fillId="2" borderId="2" xfId="16" applyNumberFormat="1" applyFont="1" applyFill="1" applyBorder="1" applyAlignment="1">
      <alignment horizontal="center"/>
    </xf>
    <xf numFmtId="4" fontId="24" fillId="2" borderId="2" xfId="16" applyNumberFormat="1" applyFont="1" applyFill="1" applyBorder="1" applyAlignment="1">
      <alignment horizontal="center"/>
    </xf>
    <xf numFmtId="43" fontId="24" fillId="2" borderId="2" xfId="18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2" fontId="9" fillId="9" borderId="8" xfId="0" applyNumberFormat="1" applyFont="1" applyFill="1" applyBorder="1" applyAlignment="1">
      <alignment horizontal="center" vertical="center"/>
    </xf>
    <xf numFmtId="164" fontId="2" fillId="0" borderId="2" xfId="2" applyFont="1" applyBorder="1" applyAlignment="1">
      <alignment horizontal="center"/>
    </xf>
    <xf numFmtId="9" fontId="20" fillId="0" borderId="0" xfId="1" applyFont="1"/>
    <xf numFmtId="165" fontId="7" fillId="0" borderId="2" xfId="1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4" fontId="12" fillId="0" borderId="2" xfId="2" applyFont="1" applyBorder="1" applyAlignment="1">
      <alignment horizontal="center"/>
    </xf>
    <xf numFmtId="3" fontId="2" fillId="11" borderId="2" xfId="0" applyNumberFormat="1" applyFont="1" applyFill="1" applyBorder="1" applyAlignment="1">
      <alignment horizontal="center"/>
    </xf>
    <xf numFmtId="4" fontId="2" fillId="11" borderId="2" xfId="0" applyNumberFormat="1" applyFont="1" applyFill="1" applyBorder="1" applyAlignment="1">
      <alignment horizontal="center"/>
    </xf>
    <xf numFmtId="165" fontId="7" fillId="11" borderId="2" xfId="1" applyNumberFormat="1" applyFont="1" applyFill="1" applyBorder="1" applyAlignment="1">
      <alignment horizontal="center"/>
    </xf>
    <xf numFmtId="10" fontId="7" fillId="11" borderId="2" xfId="1" applyNumberFormat="1" applyFont="1" applyFill="1" applyBorder="1" applyAlignment="1">
      <alignment horizontal="center"/>
    </xf>
    <xf numFmtId="4" fontId="9" fillId="11" borderId="2" xfId="0" applyNumberFormat="1" applyFont="1" applyFill="1" applyBorder="1" applyAlignment="1">
      <alignment horizontal="center"/>
    </xf>
    <xf numFmtId="2" fontId="9" fillId="11" borderId="2" xfId="0" applyNumberFormat="1" applyFont="1" applyFill="1" applyBorder="1" applyAlignment="1">
      <alignment horizontal="center"/>
    </xf>
    <xf numFmtId="165" fontId="5" fillId="11" borderId="2" xfId="1" applyNumberFormat="1" applyFont="1" applyFill="1" applyBorder="1" applyAlignment="1">
      <alignment horizontal="center" vertical="center"/>
    </xf>
    <xf numFmtId="10" fontId="24" fillId="0" borderId="0" xfId="1" applyNumberFormat="1" applyFont="1"/>
    <xf numFmtId="1" fontId="6" fillId="2" borderId="2" xfId="13" applyNumberFormat="1" applyFont="1" applyFill="1" applyBorder="1" applyAlignment="1">
      <alignment horizontal="center" vertical="center"/>
    </xf>
    <xf numFmtId="165" fontId="9" fillId="0" borderId="2" xfId="1" applyNumberFormat="1" applyFont="1" applyBorder="1" applyAlignment="1">
      <alignment horizontal="center" vertical="center"/>
    </xf>
    <xf numFmtId="173" fontId="28" fillId="0" borderId="8" xfId="16" applyFont="1" applyBorder="1" applyAlignment="1">
      <alignment horizontal="left"/>
    </xf>
    <xf numFmtId="0" fontId="10" fillId="7" borderId="0" xfId="0" applyFont="1" applyFill="1" applyAlignment="1">
      <alignment horizontal="center" wrapText="1"/>
    </xf>
    <xf numFmtId="0" fontId="10" fillId="7" borderId="2" xfId="0" applyFont="1" applyFill="1" applyBorder="1" applyAlignment="1">
      <alignment horizontal="center" wrapText="1"/>
    </xf>
    <xf numFmtId="0" fontId="10" fillId="10" borderId="2" xfId="0" applyFont="1" applyFill="1" applyBorder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2" borderId="2" xfId="4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3" fontId="20" fillId="0" borderId="3" xfId="15" applyFont="1" applyBorder="1" applyAlignment="1">
      <alignment horizontal="center" vertical="center"/>
    </xf>
    <xf numFmtId="173" fontId="20" fillId="0" borderId="4" xfId="15" applyFont="1" applyBorder="1" applyAlignment="1">
      <alignment horizontal="center" vertical="center"/>
    </xf>
    <xf numFmtId="173" fontId="20" fillId="0" borderId="1" xfId="15" applyFont="1" applyBorder="1" applyAlignment="1">
      <alignment horizontal="center" vertical="center"/>
    </xf>
  </cellXfs>
  <cellStyles count="20">
    <cellStyle name="Comma 11" xfId="6" xr:uid="{00000000-0005-0000-0000-000000000000}"/>
    <cellStyle name="Comma_MASA_Multiplos (2)" xfId="10" xr:uid="{00000000-0005-0000-0000-000001000000}"/>
    <cellStyle name="Millares" xfId="2" builtinId="3"/>
    <cellStyle name="Millares 2" xfId="13" xr:uid="{00000000-0005-0000-0000-000003000000}"/>
    <cellStyle name="Millares 3" xfId="18" xr:uid="{00000000-0005-0000-0000-000004000000}"/>
    <cellStyle name="Millares 3 2" xfId="19" xr:uid="{00000000-0005-0000-0000-000005000000}"/>
    <cellStyle name="Normal" xfId="0" builtinId="0"/>
    <cellStyle name="Normal 11" xfId="11" xr:uid="{00000000-0005-0000-0000-000007000000}"/>
    <cellStyle name="Normal 2" xfId="5" xr:uid="{00000000-0005-0000-0000-000008000000}"/>
    <cellStyle name="Normal 2 2" xfId="17" xr:uid="{00000000-0005-0000-0000-000009000000}"/>
    <cellStyle name="Normal 3" xfId="4" xr:uid="{00000000-0005-0000-0000-00000A000000}"/>
    <cellStyle name="Normal 4" xfId="15" xr:uid="{00000000-0005-0000-0000-00000B000000}"/>
    <cellStyle name="Normal 5" xfId="12" xr:uid="{00000000-0005-0000-0000-00000C000000}"/>
    <cellStyle name="Normal 5 2" xfId="16" xr:uid="{00000000-0005-0000-0000-00000D000000}"/>
    <cellStyle name="Percent 2 2" xfId="9" xr:uid="{00000000-0005-0000-0000-00000E000000}"/>
    <cellStyle name="Porcentaje" xfId="1" builtinId="5"/>
    <cellStyle name="Porcentaje 2" xfId="7" xr:uid="{00000000-0005-0000-0000-000010000000}"/>
    <cellStyle name="Porcentaje 3" xfId="14" xr:uid="{00000000-0005-0000-0000-000011000000}"/>
    <cellStyle name="Porcentual 2 2" xfId="3" xr:uid="{00000000-0005-0000-0000-000012000000}"/>
    <cellStyle name="Table Title" xfId="8" xr:uid="{00000000-0005-0000-0000-000013000000}"/>
  </cellStyles>
  <dxfs count="9">
    <dxf>
      <font>
        <b val="0"/>
        <strike val="0"/>
        <outline val="0"/>
        <shadow val="0"/>
        <u val="none"/>
        <vertAlign val="baseline"/>
        <sz val="11"/>
        <name val="DIN Pro Light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DIN Pro Light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DIN Pro Light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DIN Pro Light"/>
        <scheme val="none"/>
      </font>
      <fill>
        <patternFill patternType="solid">
          <fgColor indexed="64"/>
          <bgColor rgb="FF00AF6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Medium9"/>
  <colors>
    <mruColors>
      <color rgb="FF00AF66"/>
      <color rgb="FFCD2828"/>
      <color rgb="FF00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1783416</xdr:colOff>
      <xdr:row>3</xdr:row>
      <xdr:rowOff>117662</xdr:rowOff>
    </xdr:from>
    <xdr:to>
      <xdr:col>3</xdr:col>
      <xdr:colOff>558856</xdr:colOff>
      <xdr:row>20</xdr:row>
      <xdr:rowOff>22412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E9FA22DC-4406-450E-B68D-C88FACB7E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60" r="27966"/>
        <a:stretch>
          <a:fillRect/>
        </a:stretch>
      </xdr:blipFill>
      <xdr:spPr bwMode="auto">
        <a:xfrm>
          <a:off x="2545416" y="588309"/>
          <a:ext cx="3493116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illacorta/AppData/Local/Microsoft/Windows/INetCache/Content.Outlook/WULIYG0J/Modelo%20de%20factor%20de%20productividad%20TPP%20OSI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Datos Macro"/>
      <sheetName val="Producción"/>
      <sheetName val="Mano de obra"/>
      <sheetName val="Materiales"/>
      <sheetName val="Capital"/>
      <sheetName val="Agregados"/>
      <sheetName val="Wacc- cálculo"/>
      <sheetName val="PTF Economí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47" displayName="Tabla47" ref="B23:C27" totalsRowShown="0" headerRowDxfId="6" dataDxfId="4" headerRowBorderDxfId="5" tableBorderDxfId="3" totalsRowBorderDxfId="2">
  <tableColumns count="2">
    <tableColumn id="1" xr3:uid="{00000000-0010-0000-0000-000001000000}" name="Concepto" dataDxfId="1"/>
    <tableColumn id="2" xr3:uid="{00000000-0010-0000-0000-000002000000}" name="Anualidad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8"/>
  <sheetViews>
    <sheetView showGridLines="0" tabSelected="1" zoomScale="85" zoomScaleNormal="85" workbookViewId="0">
      <selection activeCell="F55" sqref="F55"/>
    </sheetView>
  </sheetViews>
  <sheetFormatPr baseColWidth="10" defaultRowHeight="15"/>
  <cols>
    <col min="1" max="1" width="11.42578125" style="1"/>
    <col min="2" max="2" width="36.7109375" style="1" customWidth="1"/>
    <col min="3" max="3" width="18.140625" style="1" customWidth="1"/>
    <col min="4" max="4" width="19.140625" style="1" customWidth="1"/>
    <col min="5" max="5" width="16.5703125" style="1" customWidth="1"/>
    <col min="6" max="8" width="11.42578125" style="1"/>
    <col min="9" max="9" width="57" style="1" customWidth="1"/>
    <col min="10" max="16384" width="11.42578125" style="1"/>
  </cols>
  <sheetData>
    <row r="2" spans="2:10">
      <c r="B2" s="2" t="s">
        <v>74</v>
      </c>
    </row>
    <row r="3" spans="2:10">
      <c r="B3" s="2" t="s">
        <v>83</v>
      </c>
    </row>
    <row r="4" spans="2:10">
      <c r="B4" s="49" t="s">
        <v>2</v>
      </c>
      <c r="C4" s="49" t="s">
        <v>3</v>
      </c>
      <c r="D4" s="49" t="s">
        <v>4</v>
      </c>
      <c r="E4" s="49" t="s">
        <v>5</v>
      </c>
    </row>
    <row r="5" spans="2:10">
      <c r="B5" s="59" t="s">
        <v>6</v>
      </c>
      <c r="C5" s="60">
        <f>+Agregados!F18</f>
        <v>-1.3204252607951361E-2</v>
      </c>
      <c r="D5" s="60">
        <f>PTF_Economía!K9</f>
        <v>-1.2616417853184875E-2</v>
      </c>
      <c r="E5" s="60">
        <f>C5-D5</f>
        <v>-5.8783475476648604E-4</v>
      </c>
    </row>
    <row r="6" spans="2:10">
      <c r="B6" s="62" t="s">
        <v>7</v>
      </c>
      <c r="C6" s="63">
        <f>+Agregados!F26</f>
        <v>1.5302334516387912E-2</v>
      </c>
      <c r="D6" s="63">
        <f>+D5+'Datos Macro'!J15</f>
        <v>1.3095669700993951E-2</v>
      </c>
      <c r="E6" s="60">
        <f>D6-C6</f>
        <v>-2.2066648153939612E-3</v>
      </c>
    </row>
    <row r="7" spans="2:10">
      <c r="B7" s="64" t="s">
        <v>8</v>
      </c>
      <c r="C7" s="65"/>
      <c r="D7" s="66"/>
      <c r="E7" s="61">
        <f>SUM(E5:E6)</f>
        <v>-2.7944995701604473E-3</v>
      </c>
    </row>
    <row r="11" spans="2:10">
      <c r="H11" s="46"/>
      <c r="I11" s="46"/>
      <c r="J11" s="46"/>
    </row>
    <row r="12" spans="2:10" ht="51" hidden="1" customHeight="1">
      <c r="B12" s="182" t="s">
        <v>48</v>
      </c>
      <c r="C12" s="182"/>
      <c r="H12" s="183"/>
      <c r="I12" s="183"/>
      <c r="J12" s="183"/>
    </row>
    <row r="13" spans="2:10" hidden="1">
      <c r="H13" s="56">
        <v>2.5000000000000001E-2</v>
      </c>
      <c r="I13" s="46">
        <v>3.15</v>
      </c>
      <c r="J13" s="46"/>
    </row>
    <row r="14" spans="2:10" hidden="1">
      <c r="C14" s="57"/>
      <c r="H14" s="43">
        <v>0.03</v>
      </c>
    </row>
    <row r="15" spans="2:10" hidden="1">
      <c r="B15" s="37" t="s">
        <v>73</v>
      </c>
      <c r="C15" s="29"/>
      <c r="D15" s="58"/>
      <c r="H15" s="56">
        <v>3.5000000000000003E-2</v>
      </c>
    </row>
    <row r="16" spans="2:10" hidden="1">
      <c r="B16" s="68" t="s">
        <v>68</v>
      </c>
      <c r="C16" s="69"/>
      <c r="D16" s="58" t="s">
        <v>68</v>
      </c>
      <c r="H16" s="46"/>
      <c r="I16" s="181" t="s">
        <v>119</v>
      </c>
      <c r="J16" s="181"/>
    </row>
    <row r="17" spans="1:10" hidden="1">
      <c r="C17" s="57">
        <f>IF(B16="SI",1,2)</f>
        <v>1</v>
      </c>
      <c r="D17" s="58" t="s">
        <v>69</v>
      </c>
      <c r="H17" s="46"/>
      <c r="I17" s="26" t="s">
        <v>107</v>
      </c>
      <c r="J17" s="105">
        <v>0.02</v>
      </c>
    </row>
    <row r="18" spans="1:10" hidden="1">
      <c r="D18" s="46"/>
      <c r="E18" s="46"/>
      <c r="H18" s="46"/>
      <c r="I18" s="26" t="s">
        <v>35</v>
      </c>
      <c r="J18" s="105">
        <v>0.02</v>
      </c>
    </row>
    <row r="19" spans="1:10" hidden="1">
      <c r="B19" s="37" t="s">
        <v>78</v>
      </c>
      <c r="C19" s="29"/>
      <c r="E19" s="46"/>
      <c r="I19" s="26" t="s">
        <v>110</v>
      </c>
      <c r="J19" s="23">
        <v>3.35</v>
      </c>
    </row>
    <row r="20" spans="1:10" hidden="1">
      <c r="B20" s="68" t="s">
        <v>69</v>
      </c>
      <c r="C20" s="69"/>
      <c r="E20" s="46"/>
    </row>
    <row r="21" spans="1:10" hidden="1">
      <c r="C21" s="57">
        <f>IF(B20="SI",1,2)</f>
        <v>2</v>
      </c>
      <c r="E21" s="46"/>
    </row>
    <row r="22" spans="1:10" hidden="1"/>
    <row r="23" spans="1:10" hidden="1">
      <c r="B23" s="37" t="s">
        <v>82</v>
      </c>
      <c r="C23" s="29"/>
    </row>
    <row r="24" spans="1:10" hidden="1">
      <c r="B24" s="68" t="s">
        <v>68</v>
      </c>
      <c r="C24" s="69"/>
      <c r="F24" s="46"/>
      <c r="I24" s="179" t="s">
        <v>120</v>
      </c>
      <c r="J24" s="179">
        <v>0.02</v>
      </c>
    </row>
    <row r="25" spans="1:10" hidden="1">
      <c r="C25" s="57">
        <f>IF(B24="SI",1,2)</f>
        <v>1</v>
      </c>
      <c r="F25" s="46"/>
      <c r="I25" s="26" t="s">
        <v>73</v>
      </c>
      <c r="J25" s="26" t="s">
        <v>68</v>
      </c>
    </row>
    <row r="26" spans="1:10" hidden="1">
      <c r="F26" s="46"/>
      <c r="I26" s="26" t="s">
        <v>78</v>
      </c>
      <c r="J26" s="26" t="s">
        <v>68</v>
      </c>
    </row>
    <row r="27" spans="1:10" hidden="1">
      <c r="A27" s="46"/>
      <c r="B27" s="37" t="s">
        <v>84</v>
      </c>
      <c r="C27" s="29"/>
      <c r="I27" s="26" t="s">
        <v>82</v>
      </c>
      <c r="J27" s="26" t="s">
        <v>68</v>
      </c>
    </row>
    <row r="28" spans="1:10" hidden="1">
      <c r="A28" s="46"/>
      <c r="B28" s="68" t="s">
        <v>69</v>
      </c>
      <c r="C28" s="69"/>
      <c r="I28" s="26" t="s">
        <v>84</v>
      </c>
      <c r="J28" s="26" t="s">
        <v>68</v>
      </c>
    </row>
    <row r="29" spans="1:10" hidden="1">
      <c r="A29" s="46"/>
      <c r="C29" s="57">
        <f>IF(B28="SI",1,2)</f>
        <v>2</v>
      </c>
      <c r="I29" s="26" t="s">
        <v>108</v>
      </c>
      <c r="J29" s="26" t="s">
        <v>69</v>
      </c>
    </row>
    <row r="30" spans="1:10" hidden="1">
      <c r="A30" s="46"/>
      <c r="I30" s="26" t="s">
        <v>117</v>
      </c>
      <c r="J30" s="26" t="s">
        <v>68</v>
      </c>
    </row>
    <row r="31" spans="1:10" hidden="1">
      <c r="A31" s="46"/>
      <c r="B31" s="37" t="s">
        <v>108</v>
      </c>
      <c r="C31" s="29"/>
      <c r="I31" s="26" t="s">
        <v>118</v>
      </c>
      <c r="J31" s="26" t="s">
        <v>69</v>
      </c>
    </row>
    <row r="32" spans="1:10" hidden="1">
      <c r="A32" s="46"/>
      <c r="B32" s="68" t="s">
        <v>69</v>
      </c>
      <c r="C32" s="69"/>
    </row>
    <row r="33" spans="1:10" hidden="1">
      <c r="A33" s="46"/>
      <c r="C33" s="57">
        <f>IF(B32="SI",1,2)</f>
        <v>2</v>
      </c>
    </row>
    <row r="34" spans="1:10" ht="15" hidden="1" customHeight="1"/>
    <row r="35" spans="1:10" ht="15" hidden="1" customHeight="1"/>
    <row r="36" spans="1:10" ht="15" hidden="1" customHeight="1">
      <c r="B36" s="37" t="s">
        <v>109</v>
      </c>
      <c r="C36" s="29"/>
    </row>
    <row r="37" spans="1:10" ht="15" hidden="1" customHeight="1">
      <c r="B37" s="68" t="s">
        <v>69</v>
      </c>
      <c r="C37" s="69"/>
    </row>
    <row r="38" spans="1:10" ht="15" hidden="1" customHeight="1">
      <c r="C38" s="57">
        <f>IF(B37="SI",1,2)</f>
        <v>2</v>
      </c>
    </row>
    <row r="39" spans="1:10" ht="15" hidden="1" customHeight="1"/>
    <row r="40" spans="1:10" hidden="1">
      <c r="I40" s="180" t="s">
        <v>121</v>
      </c>
      <c r="J40" s="180">
        <v>0.02</v>
      </c>
    </row>
    <row r="41" spans="1:10" hidden="1">
      <c r="B41" s="37" t="s">
        <v>115</v>
      </c>
      <c r="C41" s="29"/>
      <c r="I41" s="26" t="s">
        <v>73</v>
      </c>
      <c r="J41" s="26" t="s">
        <v>68</v>
      </c>
    </row>
    <row r="42" spans="1:10" hidden="1">
      <c r="B42" s="68" t="s">
        <v>68</v>
      </c>
      <c r="C42" s="69"/>
      <c r="I42" s="26" t="s">
        <v>78</v>
      </c>
      <c r="J42" s="26" t="s">
        <v>68</v>
      </c>
    </row>
    <row r="43" spans="1:10" hidden="1">
      <c r="C43" s="57">
        <f>IF(B42="SI",1,2)</f>
        <v>1</v>
      </c>
      <c r="I43" s="26" t="s">
        <v>82</v>
      </c>
      <c r="J43" s="26" t="s">
        <v>68</v>
      </c>
    </row>
    <row r="44" spans="1:10" hidden="1">
      <c r="I44" s="26" t="s">
        <v>84</v>
      </c>
      <c r="J44" s="26" t="s">
        <v>68</v>
      </c>
    </row>
    <row r="45" spans="1:10" hidden="1">
      <c r="I45" s="26" t="s">
        <v>108</v>
      </c>
      <c r="J45" s="26" t="s">
        <v>69</v>
      </c>
    </row>
    <row r="46" spans="1:10" hidden="1">
      <c r="B46" s="37" t="s">
        <v>116</v>
      </c>
      <c r="C46" s="29"/>
      <c r="I46" s="26" t="s">
        <v>117</v>
      </c>
      <c r="J46" s="26" t="s">
        <v>68</v>
      </c>
    </row>
    <row r="47" spans="1:10" hidden="1">
      <c r="B47" s="68" t="s">
        <v>69</v>
      </c>
      <c r="C47" s="69"/>
      <c r="I47" s="26" t="s">
        <v>118</v>
      </c>
      <c r="J47" s="26" t="s">
        <v>68</v>
      </c>
    </row>
    <row r="48" spans="1:10">
      <c r="C48" s="57"/>
    </row>
  </sheetData>
  <dataConsolidate link="1"/>
  <mergeCells count="5">
    <mergeCell ref="I24:J24"/>
    <mergeCell ref="I40:J40"/>
    <mergeCell ref="I16:J16"/>
    <mergeCell ref="B12:C12"/>
    <mergeCell ref="H12:J12"/>
  </mergeCells>
  <conditionalFormatting sqref="D5">
    <cfRule type="cellIs" dxfId="8" priority="11" stopIfTrue="1" operator="equal">
      <formula>0</formula>
    </cfRule>
  </conditionalFormatting>
  <conditionalFormatting sqref="D6">
    <cfRule type="cellIs" dxfId="7" priority="9" stopIfTrue="1" operator="equal">
      <formula>0</formula>
    </cfRule>
  </conditionalFormatting>
  <dataValidations count="1">
    <dataValidation type="list" allowBlank="1" showInputMessage="1" showErrorMessage="1" sqref="B16 B47 B42 B37 B32 B20 B24 B28" xr:uid="{00000000-0002-0000-0000-000000000000}">
      <formula1>$D$16:$D$17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2"/>
  <sheetViews>
    <sheetView showGridLines="0" workbookViewId="0">
      <selection activeCell="I24" sqref="I24"/>
    </sheetView>
  </sheetViews>
  <sheetFormatPr baseColWidth="10" defaultColWidth="9.140625" defaultRowHeight="15"/>
  <cols>
    <col min="1" max="1" width="2.85546875" style="1" customWidth="1"/>
    <col min="2" max="2" width="47.140625" style="1" bestFit="1" customWidth="1"/>
    <col min="6" max="7" width="9.7109375" style="1" customWidth="1"/>
    <col min="8" max="8" width="9.140625" style="1"/>
    <col min="9" max="9" width="9.28515625" style="1" customWidth="1"/>
    <col min="10" max="10" width="21" style="1" customWidth="1"/>
    <col min="11" max="11" width="18.28515625" style="1" customWidth="1"/>
    <col min="12" max="16384" width="9.140625" style="1"/>
  </cols>
  <sheetData>
    <row r="1" spans="2:10">
      <c r="B1" s="42" t="s">
        <v>74</v>
      </c>
    </row>
    <row r="2" spans="2:10">
      <c r="E2" s="15"/>
      <c r="F2" s="15"/>
      <c r="G2" s="15"/>
      <c r="H2" s="15"/>
      <c r="I2" s="15"/>
    </row>
    <row r="3" spans="2:10">
      <c r="B3" s="106" t="s">
        <v>9</v>
      </c>
      <c r="C3" s="107">
        <v>2012</v>
      </c>
      <c r="D3" s="107">
        <v>2013</v>
      </c>
      <c r="E3" s="107">
        <f>F3-1</f>
        <v>2014</v>
      </c>
      <c r="F3" s="107">
        <f>G3-1</f>
        <v>2015</v>
      </c>
      <c r="G3" s="107">
        <v>2016</v>
      </c>
      <c r="H3" s="107">
        <f>+G3+1</f>
        <v>2017</v>
      </c>
      <c r="I3" s="107">
        <f>+H3+1</f>
        <v>2018</v>
      </c>
    </row>
    <row r="4" spans="2:10">
      <c r="B4" s="108" t="s">
        <v>170</v>
      </c>
      <c r="C4" s="109">
        <v>98.756892250000007</v>
      </c>
      <c r="D4" s="109">
        <v>99.132920000000013</v>
      </c>
      <c r="E4" s="109">
        <v>100.95011183333332</v>
      </c>
      <c r="F4" s="109">
        <v>102.73841633333332</v>
      </c>
      <c r="G4" s="109">
        <v>104.36584416666666</v>
      </c>
      <c r="H4" s="109">
        <v>105.56187274999998</v>
      </c>
      <c r="I4" s="109">
        <v>107.28539633333334</v>
      </c>
    </row>
    <row r="5" spans="2:10">
      <c r="B5" s="108" t="s">
        <v>10</v>
      </c>
      <c r="C5" s="110">
        <v>2.6381924723424701</v>
      </c>
      <c r="D5" s="110">
        <v>2.7027819881142299</v>
      </c>
      <c r="E5" s="110">
        <v>2.83938113275613</v>
      </c>
      <c r="F5" s="110">
        <v>3.1860907106782101</v>
      </c>
      <c r="G5" s="110">
        <v>3.3771255534670002</v>
      </c>
      <c r="H5" s="110">
        <v>3.2621647955803001</v>
      </c>
      <c r="I5" s="110">
        <v>3.2881337472469068</v>
      </c>
    </row>
    <row r="6" spans="2:10">
      <c r="B6" s="108" t="s">
        <v>168</v>
      </c>
      <c r="C6" s="111"/>
      <c r="D6" s="111">
        <f t="shared" ref="D6:I6" si="0">D4/C4-1</f>
        <v>3.8076101974544585E-3</v>
      </c>
      <c r="E6" s="111">
        <f t="shared" si="0"/>
        <v>1.8330861567815271E-2</v>
      </c>
      <c r="F6" s="111">
        <f t="shared" si="0"/>
        <v>1.771473520457767E-2</v>
      </c>
      <c r="G6" s="111">
        <f t="shared" si="0"/>
        <v>1.5840499507537409E-2</v>
      </c>
      <c r="H6" s="111">
        <f t="shared" si="0"/>
        <v>1.1459961761276283E-2</v>
      </c>
      <c r="I6" s="111">
        <f t="shared" si="0"/>
        <v>1.6327141025767489E-2</v>
      </c>
    </row>
    <row r="7" spans="2:10">
      <c r="B7" s="108" t="s">
        <v>11</v>
      </c>
      <c r="C7" s="112"/>
      <c r="D7" s="112">
        <f t="shared" ref="D7:I7" si="1">+D5/C5-1</f>
        <v>2.4482488085643794E-2</v>
      </c>
      <c r="E7" s="112">
        <f t="shared" si="1"/>
        <v>5.0540200890271336E-2</v>
      </c>
      <c r="F7" s="112">
        <f t="shared" si="1"/>
        <v>0.1221074458523066</v>
      </c>
      <c r="G7" s="112">
        <f t="shared" si="1"/>
        <v>5.9959009374257688E-2</v>
      </c>
      <c r="H7" s="112">
        <f t="shared" si="1"/>
        <v>-3.4041007971610582E-2</v>
      </c>
      <c r="I7" s="112">
        <f t="shared" si="1"/>
        <v>7.9606498426414429E-3</v>
      </c>
    </row>
    <row r="8" spans="2:10">
      <c r="B8" s="108" t="s">
        <v>167</v>
      </c>
      <c r="C8" s="112"/>
      <c r="D8" s="112">
        <f>E8/((1+E6)/(1+E7))</f>
        <v>1.1374495730682825</v>
      </c>
      <c r="E8" s="112">
        <f>F8/((1+F6)/(1+F7))</f>
        <v>1.1025756108628459</v>
      </c>
      <c r="F8" s="112">
        <f>1</f>
        <v>1</v>
      </c>
      <c r="G8" s="112">
        <f>F8*((1+G6)/(1+G7))</f>
        <v>0.95837715470453388</v>
      </c>
      <c r="H8" s="112">
        <f>G8*((1+H6)/(1+H7))</f>
        <v>1.0035209861391705</v>
      </c>
      <c r="I8" s="112">
        <f>H8*((1+I6)/(1+I7))</f>
        <v>1.0118506262733624</v>
      </c>
    </row>
    <row r="9" spans="2:10">
      <c r="B9" s="108" t="s">
        <v>169</v>
      </c>
      <c r="C9" s="112"/>
      <c r="D9" s="112">
        <f t="shared" ref="D9:E9" si="2">+D4/$F$4</f>
        <v>0.96490605498886295</v>
      </c>
      <c r="E9" s="112">
        <f t="shared" si="2"/>
        <v>0.98259361430881054</v>
      </c>
      <c r="F9" s="112">
        <f>+F4/$F$4</f>
        <v>1</v>
      </c>
      <c r="G9" s="112">
        <f t="shared" ref="G9:I9" si="3">+G4/$F$4</f>
        <v>1.0158404995075374</v>
      </c>
      <c r="H9" s="112">
        <f t="shared" si="3"/>
        <v>1.0274819927874497</v>
      </c>
      <c r="I9" s="112">
        <f t="shared" si="3"/>
        <v>1.0442578361851267</v>
      </c>
    </row>
    <row r="10" spans="2:10">
      <c r="B10" s="113" t="s">
        <v>12</v>
      </c>
      <c r="D10" s="117"/>
      <c r="E10" s="117"/>
      <c r="F10" s="117"/>
      <c r="G10" s="117"/>
      <c r="H10" s="117"/>
      <c r="I10" s="117"/>
    </row>
    <row r="11" spans="2:10">
      <c r="B11" s="113"/>
      <c r="F11" s="114"/>
      <c r="G11" s="114">
        <v>1.21677918211566E-2</v>
      </c>
      <c r="H11" s="114">
        <v>-2.57220473472338E-3</v>
      </c>
      <c r="I11" s="114">
        <v>3.273961802475242E-2</v>
      </c>
    </row>
    <row r="12" spans="2:10">
      <c r="B12" s="106" t="s">
        <v>13</v>
      </c>
      <c r="C12" s="107">
        <v>2012</v>
      </c>
      <c r="D12" s="107">
        <v>2013</v>
      </c>
      <c r="E12" s="107">
        <f>F12-1</f>
        <v>2014</v>
      </c>
      <c r="F12" s="107">
        <f>G12-1</f>
        <v>2015</v>
      </c>
      <c r="G12" s="107">
        <v>2016</v>
      </c>
      <c r="H12" s="107">
        <v>2017</v>
      </c>
      <c r="I12" s="107">
        <v>2018</v>
      </c>
    </row>
    <row r="13" spans="2:10" ht="12.75" customHeight="1">
      <c r="B13" s="108" t="s">
        <v>14</v>
      </c>
      <c r="C13" s="109">
        <v>108.78711833333335</v>
      </c>
      <c r="D13" s="109">
        <v>111.83949716666666</v>
      </c>
      <c r="E13" s="109">
        <v>115.46976366666665</v>
      </c>
      <c r="F13" s="109">
        <v>119.56645625</v>
      </c>
      <c r="G13" s="115">
        <v>123.86257933333331</v>
      </c>
      <c r="H13" s="115">
        <v>127.33547775</v>
      </c>
      <c r="I13" s="115">
        <v>129.01211741666665</v>
      </c>
      <c r="J13" s="184" t="s">
        <v>79</v>
      </c>
    </row>
    <row r="14" spans="2:10" ht="15" customHeight="1">
      <c r="B14" s="108" t="s">
        <v>15</v>
      </c>
      <c r="C14" s="116">
        <f>+C5</f>
        <v>2.6381924723424701</v>
      </c>
      <c r="D14" s="116">
        <f t="shared" ref="D14:I14" si="4">+D5</f>
        <v>2.7027819881142299</v>
      </c>
      <c r="E14" s="116">
        <f t="shared" si="4"/>
        <v>2.83938113275613</v>
      </c>
      <c r="F14" s="116">
        <f t="shared" si="4"/>
        <v>3.1860907106782101</v>
      </c>
      <c r="G14" s="116">
        <f t="shared" si="4"/>
        <v>3.3771255534670002</v>
      </c>
      <c r="H14" s="116">
        <f t="shared" si="4"/>
        <v>3.2621647955803001</v>
      </c>
      <c r="I14" s="116">
        <f t="shared" si="4"/>
        <v>3.2881337472469068</v>
      </c>
      <c r="J14" s="184"/>
    </row>
    <row r="15" spans="2:10">
      <c r="B15" s="108" t="s">
        <v>16</v>
      </c>
      <c r="C15" s="111"/>
      <c r="D15" s="111">
        <f t="shared" ref="D15:I16" si="5">D13/C13-1</f>
        <v>2.8058274546629125E-2</v>
      </c>
      <c r="E15" s="111">
        <f t="shared" si="5"/>
        <v>3.2459610352057133E-2</v>
      </c>
      <c r="F15" s="111">
        <f>F13/E13-1</f>
        <v>3.5478487642527146E-2</v>
      </c>
      <c r="G15" s="111">
        <f t="shared" si="5"/>
        <v>3.5930838949935984E-2</v>
      </c>
      <c r="H15" s="111">
        <f t="shared" si="5"/>
        <v>2.803831823427938E-2</v>
      </c>
      <c r="I15" s="111">
        <f t="shared" si="5"/>
        <v>1.3167105478321117E-2</v>
      </c>
      <c r="J15" s="67">
        <f>AVERAGE(G15:I15)</f>
        <v>2.5712087554178826E-2</v>
      </c>
    </row>
    <row r="16" spans="2:10">
      <c r="B16" s="108" t="s">
        <v>11</v>
      </c>
      <c r="C16" s="112"/>
      <c r="D16" s="112">
        <f t="shared" si="5"/>
        <v>2.4482488085643794E-2</v>
      </c>
      <c r="E16" s="112">
        <f t="shared" si="5"/>
        <v>5.0540200890271336E-2</v>
      </c>
      <c r="F16" s="112">
        <f t="shared" si="5"/>
        <v>0.1221074458523066</v>
      </c>
      <c r="G16" s="112">
        <f t="shared" si="5"/>
        <v>5.9959009374257688E-2</v>
      </c>
      <c r="H16" s="112">
        <f t="shared" si="5"/>
        <v>-3.4041007971610582E-2</v>
      </c>
      <c r="I16" s="112">
        <f t="shared" si="5"/>
        <v>7.9606498426414429E-3</v>
      </c>
    </row>
    <row r="17" spans="2:9">
      <c r="B17" s="108" t="s">
        <v>17</v>
      </c>
      <c r="C17" s="112"/>
      <c r="D17" s="167">
        <f>E17/((1+E15)/(1+E16))</f>
        <v>1.1026380331575414</v>
      </c>
      <c r="E17" s="167">
        <f>F17/((1+F15)/(1+F16))</f>
        <v>1.0836607995662058</v>
      </c>
      <c r="F17" s="167">
        <f>1</f>
        <v>1</v>
      </c>
      <c r="G17" s="167">
        <f>F17*((1+G15)/(1+G16))</f>
        <v>0.97733103807617372</v>
      </c>
      <c r="H17" s="167">
        <f>G17*((1+H15)/(1+H16))</f>
        <v>1.0401412120323874</v>
      </c>
      <c r="I17" s="167">
        <f>H17*((1+I15)/(1+I16))</f>
        <v>1.0455138910909738</v>
      </c>
    </row>
    <row r="18" spans="2:9">
      <c r="B18" s="108" t="s">
        <v>18</v>
      </c>
      <c r="C18" s="112"/>
      <c r="D18" s="112">
        <f t="shared" ref="D18" si="6">+D13/$F$13</f>
        <v>0.93537519363142163</v>
      </c>
      <c r="E18" s="112">
        <f>+E13/$F$13</f>
        <v>0.9657371079496776</v>
      </c>
      <c r="F18" s="112">
        <f>+F13/$F$13</f>
        <v>1</v>
      </c>
      <c r="G18" s="112">
        <f t="shared" ref="G18:I18" si="7">+G13/$F$13</f>
        <v>1.035930838949936</v>
      </c>
      <c r="H18" s="112">
        <f t="shared" si="7"/>
        <v>1.0649765974811183</v>
      </c>
      <c r="I18" s="112">
        <f t="shared" si="7"/>
        <v>1.0789992566720956</v>
      </c>
    </row>
    <row r="19" spans="2:9">
      <c r="B19" s="113" t="s">
        <v>12</v>
      </c>
    </row>
    <row r="21" spans="2:9">
      <c r="B21" s="40"/>
    </row>
    <row r="22" spans="2:9">
      <c r="B22" s="40"/>
    </row>
  </sheetData>
  <mergeCells count="1">
    <mergeCell ref="J13:J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G36"/>
  <sheetViews>
    <sheetView showGridLines="0" zoomScaleNormal="100" workbookViewId="0">
      <selection activeCell="B23" sqref="B23"/>
    </sheetView>
  </sheetViews>
  <sheetFormatPr baseColWidth="10" defaultRowHeight="15"/>
  <cols>
    <col min="1" max="1" width="11.42578125" style="1"/>
    <col min="2" max="2" width="20.140625" style="1" customWidth="1"/>
    <col min="3" max="3" width="36.5703125" style="1" customWidth="1"/>
    <col min="4" max="7" width="18" style="1" bestFit="1" customWidth="1"/>
    <col min="8" max="8" width="13" style="1" customWidth="1"/>
    <col min="9" max="9" width="13.28515625" style="1" customWidth="1"/>
    <col min="10" max="10" width="10.85546875" style="1" customWidth="1"/>
    <col min="11" max="16384" width="11.42578125" style="1"/>
  </cols>
  <sheetData>
    <row r="2" spans="2:7">
      <c r="B2" s="2" t="s">
        <v>171</v>
      </c>
    </row>
    <row r="3" spans="2:7">
      <c r="B3" s="81" t="s">
        <v>19</v>
      </c>
      <c r="C3" s="50" t="s">
        <v>20</v>
      </c>
      <c r="D3" s="49">
        <v>2015</v>
      </c>
      <c r="E3" s="49">
        <f>D3+1</f>
        <v>2016</v>
      </c>
      <c r="F3" s="49">
        <f>E3+1</f>
        <v>2017</v>
      </c>
      <c r="G3" s="49">
        <f>F3+1</f>
        <v>2018</v>
      </c>
    </row>
    <row r="4" spans="2:7">
      <c r="B4" s="74"/>
      <c r="C4" s="75" t="s">
        <v>21</v>
      </c>
      <c r="D4" s="76"/>
      <c r="E4" s="57"/>
      <c r="F4" s="76"/>
      <c r="G4" s="76"/>
    </row>
    <row r="5" spans="2:7">
      <c r="B5" s="77">
        <v>3.1</v>
      </c>
      <c r="C5" s="78" t="s">
        <v>71</v>
      </c>
      <c r="D5" s="79">
        <v>23919411.095400028</v>
      </c>
      <c r="E5" s="79">
        <v>23207684.241800003</v>
      </c>
      <c r="F5" s="79">
        <v>22227665.8794</v>
      </c>
      <c r="G5" s="79">
        <v>22140988.682500001</v>
      </c>
    </row>
    <row r="6" spans="2:7">
      <c r="B6" s="52">
        <v>3.2</v>
      </c>
      <c r="C6" s="53" t="s">
        <v>23</v>
      </c>
      <c r="D6" s="80">
        <v>555912.47080000024</v>
      </c>
      <c r="E6" s="80">
        <v>548532.95330000005</v>
      </c>
      <c r="F6" s="80">
        <v>530613.48369999998</v>
      </c>
      <c r="G6" s="80">
        <v>578104.84860000049</v>
      </c>
    </row>
    <row r="7" spans="2:7">
      <c r="B7" s="44"/>
      <c r="C7" s="45"/>
      <c r="D7" s="83"/>
      <c r="E7" s="83"/>
      <c r="F7" s="83"/>
      <c r="G7" s="83"/>
    </row>
    <row r="8" spans="2:7">
      <c r="B8" s="3" t="s">
        <v>24</v>
      </c>
    </row>
    <row r="9" spans="2:7">
      <c r="B9" s="50" t="s">
        <v>19</v>
      </c>
      <c r="C9" s="82" t="s">
        <v>20</v>
      </c>
      <c r="D9" s="51">
        <f>D3</f>
        <v>2015</v>
      </c>
      <c r="E9" s="51">
        <f>E3</f>
        <v>2016</v>
      </c>
      <c r="F9" s="51">
        <f>F3</f>
        <v>2017</v>
      </c>
      <c r="G9" s="49">
        <f>G3</f>
        <v>2018</v>
      </c>
    </row>
    <row r="10" spans="2:7">
      <c r="B10" s="84"/>
      <c r="C10" s="85" t="s">
        <v>21</v>
      </c>
      <c r="D10" s="76"/>
      <c r="E10" s="57"/>
      <c r="F10" s="76"/>
      <c r="G10" s="76"/>
    </row>
    <row r="11" spans="2:7">
      <c r="B11" s="86">
        <v>4.0999999999999996</v>
      </c>
      <c r="C11" s="45" t="s">
        <v>71</v>
      </c>
      <c r="D11" s="79">
        <v>3275225.7059999998</v>
      </c>
      <c r="E11" s="79">
        <v>3159602.33</v>
      </c>
      <c r="F11" s="79">
        <v>2973089.9899999998</v>
      </c>
      <c r="G11" s="79">
        <v>2897210.7299999995</v>
      </c>
    </row>
    <row r="12" spans="2:7">
      <c r="B12" s="55">
        <v>4.2</v>
      </c>
      <c r="C12" s="54" t="s">
        <v>23</v>
      </c>
      <c r="D12" s="80">
        <v>754965.03581379179</v>
      </c>
      <c r="E12" s="80">
        <v>739018.24453182111</v>
      </c>
      <c r="F12" s="80">
        <v>701314.30867662746</v>
      </c>
      <c r="G12" s="80">
        <v>720720.84960048366</v>
      </c>
    </row>
    <row r="15" spans="2:7">
      <c r="B15" s="3" t="s">
        <v>72</v>
      </c>
    </row>
    <row r="16" spans="2:7">
      <c r="B16" s="50" t="s">
        <v>19</v>
      </c>
      <c r="C16" s="82" t="s">
        <v>20</v>
      </c>
      <c r="D16" s="51">
        <f>D9</f>
        <v>2015</v>
      </c>
      <c r="E16" s="51">
        <f>E9</f>
        <v>2016</v>
      </c>
      <c r="F16" s="51">
        <f>F9</f>
        <v>2017</v>
      </c>
      <c r="G16" s="49">
        <f>G9</f>
        <v>2018</v>
      </c>
    </row>
    <row r="17" spans="2:7">
      <c r="B17" s="84"/>
      <c r="C17" s="85" t="s">
        <v>21</v>
      </c>
      <c r="D17" s="76"/>
      <c r="E17" s="57"/>
      <c r="F17" s="76"/>
      <c r="G17" s="76"/>
    </row>
    <row r="18" spans="2:7">
      <c r="B18" s="86">
        <v>5.0999999999999996</v>
      </c>
      <c r="C18" s="45" t="s">
        <v>71</v>
      </c>
      <c r="D18" s="79">
        <f>($D5/$D11)*D11</f>
        <v>23919411.095400028</v>
      </c>
      <c r="E18" s="79">
        <f t="shared" ref="E18:F18" si="0">($D5/$D11)*E11</f>
        <v>23074998.126328759</v>
      </c>
      <c r="F18" s="79">
        <f t="shared" si="0"/>
        <v>21712873.578193869</v>
      </c>
      <c r="G18" s="79">
        <f>($D5/$D11)*G11</f>
        <v>21158717.200442616</v>
      </c>
    </row>
    <row r="19" spans="2:7">
      <c r="B19" s="55">
        <v>5.2</v>
      </c>
      <c r="C19" s="54" t="s">
        <v>23</v>
      </c>
      <c r="D19" s="80">
        <f>($D6/$D12)*D12</f>
        <v>555912.47080000024</v>
      </c>
      <c r="E19" s="80">
        <f t="shared" ref="E19:G19" si="1">($D6/$D12)*E12</f>
        <v>544170.17847869231</v>
      </c>
      <c r="F19" s="80">
        <f t="shared" si="1"/>
        <v>516407.18662364286</v>
      </c>
      <c r="G19" s="80">
        <f t="shared" si="1"/>
        <v>530697.03794507962</v>
      </c>
    </row>
    <row r="22" spans="2:7">
      <c r="B22" s="3" t="s">
        <v>179</v>
      </c>
    </row>
    <row r="23" spans="2:7">
      <c r="B23" s="50" t="s">
        <v>19</v>
      </c>
      <c r="C23" s="82" t="s">
        <v>20</v>
      </c>
      <c r="D23" s="51">
        <f>D16</f>
        <v>2015</v>
      </c>
      <c r="E23" s="51">
        <f>E16</f>
        <v>2016</v>
      </c>
      <c r="F23" s="51">
        <f>F16</f>
        <v>2017</v>
      </c>
      <c r="G23" s="49">
        <f>G16</f>
        <v>2018</v>
      </c>
    </row>
    <row r="24" spans="2:7">
      <c r="B24" s="84"/>
      <c r="C24" s="85" t="s">
        <v>21</v>
      </c>
      <c r="D24" s="76"/>
      <c r="E24" s="57"/>
      <c r="F24" s="76"/>
      <c r="G24" s="76"/>
    </row>
    <row r="25" spans="2:7">
      <c r="B25" s="86">
        <v>6.1</v>
      </c>
      <c r="C25" s="45" t="s">
        <v>71</v>
      </c>
      <c r="D25" s="87">
        <f t="shared" ref="D25:G26" si="2">D5/D18</f>
        <v>1</v>
      </c>
      <c r="E25" s="87">
        <f t="shared" si="2"/>
        <v>1.0057502113215708</v>
      </c>
      <c r="F25" s="87">
        <f t="shared" si="2"/>
        <v>1.0237090820499748</v>
      </c>
      <c r="G25" s="87">
        <f t="shared" si="2"/>
        <v>1.0464239619421181</v>
      </c>
    </row>
    <row r="26" spans="2:7">
      <c r="B26" s="55">
        <v>6.2</v>
      </c>
      <c r="C26" s="54" t="s">
        <v>23</v>
      </c>
      <c r="D26" s="88">
        <f t="shared" si="2"/>
        <v>1</v>
      </c>
      <c r="E26" s="88">
        <f t="shared" si="2"/>
        <v>1.0080172986206346</v>
      </c>
      <c r="F26" s="88">
        <f t="shared" si="2"/>
        <v>1.0275098748513558</v>
      </c>
      <c r="G26" s="88">
        <f t="shared" si="2"/>
        <v>1.0893312139794287</v>
      </c>
    </row>
    <row r="29" spans="2:7">
      <c r="B29" s="187"/>
      <c r="C29" s="187"/>
      <c r="D29" s="49">
        <v>2015</v>
      </c>
      <c r="E29" s="49">
        <f>+D29+1</f>
        <v>2016</v>
      </c>
      <c r="F29" s="49">
        <f>+E29+1</f>
        <v>2017</v>
      </c>
      <c r="G29" s="49">
        <f>+F29+1</f>
        <v>2018</v>
      </c>
    </row>
    <row r="30" spans="2:7">
      <c r="B30" s="188" t="s">
        <v>25</v>
      </c>
      <c r="C30" s="73" t="s">
        <v>26</v>
      </c>
      <c r="D30" s="168"/>
      <c r="E30" s="19">
        <f>SUMPRODUCT(D25:D26,E11:E12)</f>
        <v>3898620.5745318211</v>
      </c>
      <c r="F30" s="19">
        <f t="shared" ref="F30:G30" si="3">SUMPRODUCT(E25:E26,F11:F12)</f>
        <v>3697122.8406367586</v>
      </c>
      <c r="G30" s="19">
        <f t="shared" si="3"/>
        <v>3706448.7268893928</v>
      </c>
    </row>
    <row r="31" spans="2:7">
      <c r="B31" s="188"/>
      <c r="C31" s="73" t="s">
        <v>27</v>
      </c>
      <c r="D31" s="168"/>
      <c r="E31" s="19">
        <f>SUMPRODUCT(D25:D26,D11:D12)</f>
        <v>4030190.7418137915</v>
      </c>
      <c r="F31" s="19">
        <f t="shared" ref="F31:G31" si="4">SUMPRODUCT(E25:E26,E11:E12)</f>
        <v>3922713.8855739576</v>
      </c>
      <c r="G31" s="19">
        <f t="shared" si="4"/>
        <v>3764186.6020546551</v>
      </c>
    </row>
    <row r="32" spans="2:7">
      <c r="B32" s="188" t="s">
        <v>28</v>
      </c>
      <c r="C32" s="73" t="s">
        <v>26</v>
      </c>
      <c r="D32" s="168"/>
      <c r="E32" s="19">
        <f>SUMPRODUCT(E11:E12,E25:E26)</f>
        <v>3922713.8855739576</v>
      </c>
      <c r="F32" s="19">
        <f t="shared" ref="F32:G32" si="5">SUMPRODUCT(F11:F12,F25:F26)</f>
        <v>3764186.6020546551</v>
      </c>
      <c r="G32" s="19">
        <f t="shared" si="5"/>
        <v>3816814.4487033957</v>
      </c>
    </row>
    <row r="33" spans="2:7">
      <c r="B33" s="188"/>
      <c r="C33" s="73" t="s">
        <v>27</v>
      </c>
      <c r="D33" s="168"/>
      <c r="E33" s="19">
        <f>SUMPRODUCT(E25:E26,D11:D12)</f>
        <v>4055076.7618893897</v>
      </c>
      <c r="F33" s="19">
        <f t="shared" ref="F33:G33" si="6">SUMPRODUCT(F25:F26,E11:E12)</f>
        <v>3993862.1448390218</v>
      </c>
      <c r="G33" s="19">
        <f t="shared" si="6"/>
        <v>3875076.1737981066</v>
      </c>
    </row>
    <row r="34" spans="2:7">
      <c r="B34" s="185" t="s">
        <v>29</v>
      </c>
      <c r="C34" s="185"/>
      <c r="D34" s="169"/>
      <c r="E34" s="20">
        <f>((E30/E31)*(E32/E33))^0.5</f>
        <v>0.96735629290896852</v>
      </c>
      <c r="F34" s="20">
        <f>((F30/F31)*(F32/F33))^0.5</f>
        <v>0.94249197509534055</v>
      </c>
      <c r="G34" s="20">
        <f>((G30/G31)*(G32/G33))^0.5</f>
        <v>0.98481312470757598</v>
      </c>
    </row>
    <row r="35" spans="2:7" ht="15.75" customHeight="1">
      <c r="B35" s="186" t="s">
        <v>30</v>
      </c>
      <c r="C35" s="186"/>
      <c r="D35" s="170"/>
      <c r="E35" s="165">
        <f>LN(E34)</f>
        <v>-3.3188399571550155E-2</v>
      </c>
      <c r="F35" s="165">
        <f>LN(F34)</f>
        <v>-5.9227874183922016E-2</v>
      </c>
      <c r="G35" s="165">
        <f>LN(G34)</f>
        <v>-1.5303376918434303E-2</v>
      </c>
    </row>
    <row r="36" spans="2:7">
      <c r="F36" s="23" t="s">
        <v>31</v>
      </c>
      <c r="G36" s="166">
        <f>+AVERAGE(E35:G35)</f>
        <v>-3.5906550224635493E-2</v>
      </c>
    </row>
  </sheetData>
  <mergeCells count="5">
    <mergeCell ref="B34:C34"/>
    <mergeCell ref="B35:C35"/>
    <mergeCell ref="B29:C29"/>
    <mergeCell ref="B30:B31"/>
    <mergeCell ref="B32:B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K41"/>
  <sheetViews>
    <sheetView showGridLines="0" zoomScaleNormal="100" workbookViewId="0">
      <selection activeCell="E33" sqref="E33:G36"/>
    </sheetView>
  </sheetViews>
  <sheetFormatPr baseColWidth="10" defaultRowHeight="15"/>
  <cols>
    <col min="1" max="1" width="11.42578125" style="1"/>
    <col min="2" max="2" width="35.42578125" style="1" customWidth="1"/>
    <col min="3" max="3" width="14.5703125" style="1" bestFit="1" customWidth="1"/>
    <col min="4" max="5" width="12.140625" style="1" bestFit="1" customWidth="1"/>
    <col min="6" max="6" width="13.85546875" style="1" bestFit="1" customWidth="1"/>
    <col min="7" max="16384" width="11.42578125" style="1"/>
  </cols>
  <sheetData>
    <row r="3" spans="2:11">
      <c r="B3" s="71" t="s">
        <v>36</v>
      </c>
      <c r="C3" s="70">
        <v>2015</v>
      </c>
      <c r="D3" s="70">
        <f>+C3+1</f>
        <v>2016</v>
      </c>
      <c r="E3" s="70">
        <f>+D3+1</f>
        <v>2017</v>
      </c>
      <c r="F3" s="70">
        <f>+E3+1</f>
        <v>2018</v>
      </c>
      <c r="H3" s="17"/>
      <c r="I3" s="17"/>
      <c r="J3" s="17"/>
      <c r="K3" s="17"/>
    </row>
    <row r="4" spans="2:11">
      <c r="B4" s="26" t="s">
        <v>32</v>
      </c>
      <c r="C4" s="99">
        <v>934739.02999999991</v>
      </c>
      <c r="D4" s="89">
        <v>877510.45</v>
      </c>
      <c r="E4" s="89">
        <v>930574.58</v>
      </c>
      <c r="F4" s="89">
        <v>1035720.29</v>
      </c>
      <c r="H4" s="17"/>
      <c r="I4" s="17"/>
      <c r="J4" s="17"/>
      <c r="K4" s="17"/>
    </row>
    <row r="5" spans="2:11">
      <c r="B5" s="10"/>
      <c r="C5" s="11"/>
      <c r="D5" s="11"/>
      <c r="E5" s="11"/>
      <c r="F5" s="11"/>
      <c r="H5" s="17"/>
      <c r="I5" s="17"/>
      <c r="J5" s="17"/>
      <c r="K5" s="17"/>
    </row>
    <row r="6" spans="2:11">
      <c r="H6" s="17"/>
      <c r="I6" s="17"/>
      <c r="J6" s="17"/>
      <c r="K6" s="17"/>
    </row>
    <row r="7" spans="2:11">
      <c r="B7" s="71" t="s">
        <v>37</v>
      </c>
      <c r="C7" s="70">
        <f>+C3</f>
        <v>2015</v>
      </c>
      <c r="D7" s="70">
        <f>+D3</f>
        <v>2016</v>
      </c>
      <c r="E7" s="70">
        <f>+E3</f>
        <v>2017</v>
      </c>
      <c r="F7" s="70">
        <f>+F3</f>
        <v>2018</v>
      </c>
      <c r="H7" s="17"/>
      <c r="I7" s="17"/>
      <c r="J7" s="17"/>
      <c r="K7" s="17"/>
    </row>
    <row r="8" spans="2:11">
      <c r="B8" s="26" t="s">
        <v>32</v>
      </c>
      <c r="C8" s="100">
        <v>29656</v>
      </c>
      <c r="D8" s="100">
        <v>27272</v>
      </c>
      <c r="E8" s="100">
        <v>28744</v>
      </c>
      <c r="F8" s="100">
        <v>34056</v>
      </c>
      <c r="H8" s="17"/>
      <c r="I8" s="17"/>
      <c r="J8" s="17"/>
      <c r="K8" s="17"/>
    </row>
    <row r="9" spans="2:11">
      <c r="B9" s="10"/>
      <c r="C9" s="11"/>
      <c r="D9" s="11"/>
      <c r="E9" s="11"/>
      <c r="F9" s="11"/>
      <c r="H9" s="17"/>
      <c r="I9" s="17"/>
      <c r="J9" s="17"/>
      <c r="K9" s="17"/>
    </row>
    <row r="10" spans="2:11">
      <c r="B10" s="3" t="s">
        <v>172</v>
      </c>
      <c r="C10" s="39"/>
      <c r="D10" s="9"/>
      <c r="E10" s="9"/>
      <c r="F10" s="9"/>
      <c r="H10" s="17"/>
      <c r="I10" s="17"/>
      <c r="J10" s="17"/>
      <c r="K10" s="17"/>
    </row>
    <row r="11" spans="2:11">
      <c r="B11" s="10"/>
      <c r="C11" s="8"/>
      <c r="D11" s="9"/>
      <c r="E11" s="9"/>
      <c r="F11" s="9"/>
      <c r="H11" s="17"/>
      <c r="I11" s="17"/>
      <c r="J11" s="17"/>
      <c r="K11" s="17"/>
    </row>
    <row r="12" spans="2:11">
      <c r="B12" s="72"/>
      <c r="C12" s="70">
        <f>+C7</f>
        <v>2015</v>
      </c>
      <c r="D12" s="70">
        <f>+D7</f>
        <v>2016</v>
      </c>
      <c r="E12" s="70">
        <f>+E7</f>
        <v>2017</v>
      </c>
      <c r="F12" s="70">
        <f>+F7</f>
        <v>2018</v>
      </c>
      <c r="H12" s="17"/>
      <c r="I12" s="17"/>
      <c r="J12" s="17"/>
      <c r="K12" s="17"/>
    </row>
    <row r="13" spans="2:11">
      <c r="B13" s="26" t="s">
        <v>32</v>
      </c>
      <c r="C13" s="101">
        <f>+($C4/$C8)*C8</f>
        <v>934739.02999999991</v>
      </c>
      <c r="D13" s="101">
        <f>+($C4/$C8)*D8</f>
        <v>859596.80422713771</v>
      </c>
      <c r="E13" s="101">
        <f>+($C4/$C8)*E8</f>
        <v>905993.34631507949</v>
      </c>
      <c r="F13" s="101">
        <f>+($C4/$C8)*F8</f>
        <v>1073424.3460237388</v>
      </c>
      <c r="H13" s="17"/>
      <c r="I13" s="17"/>
      <c r="J13" s="17"/>
      <c r="K13" s="17"/>
    </row>
    <row r="14" spans="2:11">
      <c r="B14" s="10"/>
      <c r="C14" s="8"/>
      <c r="D14" s="9"/>
      <c r="E14" s="9"/>
      <c r="F14" s="9"/>
      <c r="H14" s="17"/>
      <c r="I14" s="17"/>
      <c r="J14" s="17"/>
      <c r="K14" s="17"/>
    </row>
    <row r="15" spans="2:11">
      <c r="B15" s="3" t="s">
        <v>173</v>
      </c>
      <c r="C15" s="8"/>
      <c r="D15" s="9"/>
      <c r="E15" s="9"/>
      <c r="F15" s="9"/>
      <c r="H15" s="17"/>
      <c r="I15" s="17"/>
      <c r="J15" s="17"/>
      <c r="K15" s="17"/>
    </row>
    <row r="16" spans="2:11">
      <c r="B16" s="3"/>
      <c r="C16" s="8"/>
      <c r="D16" s="9"/>
      <c r="E16" s="9"/>
      <c r="F16" s="9"/>
      <c r="H16" s="17"/>
      <c r="I16" s="17"/>
      <c r="J16" s="17"/>
      <c r="K16" s="17"/>
    </row>
    <row r="17" spans="2:11">
      <c r="B17" s="72"/>
      <c r="C17" s="70">
        <f>+C12</f>
        <v>2015</v>
      </c>
      <c r="D17" s="70">
        <f>+D12</f>
        <v>2016</v>
      </c>
      <c r="E17" s="70">
        <f>+E12</f>
        <v>2017</v>
      </c>
      <c r="F17" s="70">
        <f>+F12</f>
        <v>2018</v>
      </c>
      <c r="H17" s="17"/>
      <c r="I17" s="17"/>
      <c r="J17" s="17"/>
      <c r="K17" s="17"/>
    </row>
    <row r="18" spans="2:11">
      <c r="B18" s="26" t="s">
        <v>32</v>
      </c>
      <c r="C18" s="102">
        <f>+C4/C13</f>
        <v>1</v>
      </c>
      <c r="D18" s="102">
        <f>+D4/D13</f>
        <v>1.0208395909393455</v>
      </c>
      <c r="E18" s="102">
        <f>+E4/E13</f>
        <v>1.0271318037653356</v>
      </c>
      <c r="F18" s="102">
        <f>+F4/F13</f>
        <v>0.96487497589988047</v>
      </c>
      <c r="H18" s="17"/>
      <c r="I18" s="17"/>
      <c r="J18" s="17"/>
      <c r="K18" s="17"/>
    </row>
    <row r="19" spans="2:11">
      <c r="B19" s="13"/>
      <c r="C19" s="13"/>
      <c r="D19" s="12"/>
      <c r="E19" s="12"/>
      <c r="F19" s="12"/>
      <c r="G19" s="17"/>
      <c r="H19" s="17"/>
      <c r="I19" s="17"/>
      <c r="J19" s="17"/>
      <c r="K19" s="17"/>
    </row>
    <row r="20" spans="2:11">
      <c r="B20" s="48" t="s">
        <v>38</v>
      </c>
      <c r="C20" s="13"/>
      <c r="D20" s="13"/>
      <c r="E20" s="13"/>
      <c r="F20" s="13"/>
      <c r="G20" s="8"/>
      <c r="H20" s="17"/>
      <c r="I20" s="17"/>
      <c r="J20" s="17"/>
      <c r="K20" s="17"/>
    </row>
    <row r="21" spans="2:11">
      <c r="B21" s="10"/>
      <c r="C21" s="7"/>
      <c r="D21" s="9"/>
      <c r="E21" s="9"/>
      <c r="F21" s="9"/>
      <c r="G21" s="8"/>
      <c r="H21" s="17"/>
      <c r="I21" s="17"/>
      <c r="J21" s="17"/>
      <c r="K21" s="17"/>
    </row>
    <row r="22" spans="2:11">
      <c r="B22" s="187"/>
      <c r="C22" s="187"/>
      <c r="D22" s="49">
        <v>2015</v>
      </c>
      <c r="E22" s="49">
        <f>+D22+1</f>
        <v>2016</v>
      </c>
      <c r="F22" s="49">
        <f>+E22+1</f>
        <v>2017</v>
      </c>
      <c r="G22" s="49">
        <f>+F22+1</f>
        <v>2018</v>
      </c>
    </row>
    <row r="23" spans="2:11">
      <c r="B23" s="188" t="s">
        <v>25</v>
      </c>
      <c r="C23" s="73" t="s">
        <v>26</v>
      </c>
      <c r="D23" s="168"/>
      <c r="E23" s="19">
        <f>SUMPRODUCT(C18:C18,D13:D13)</f>
        <v>859596.80422713771</v>
      </c>
      <c r="F23" s="19">
        <f t="shared" ref="F23:G23" si="0">SUMPRODUCT(D18:D18,E13:E13)</f>
        <v>924873.87704605458</v>
      </c>
      <c r="G23" s="19">
        <f t="shared" si="0"/>
        <v>1102548.2847369886</v>
      </c>
    </row>
    <row r="24" spans="2:11">
      <c r="B24" s="188"/>
      <c r="C24" s="73" t="s">
        <v>27</v>
      </c>
      <c r="D24" s="168"/>
      <c r="E24" s="19">
        <f>SUMPRODUCT(C18:C18,C13:C13)</f>
        <v>934739.02999999991</v>
      </c>
      <c r="F24" s="19">
        <f t="shared" ref="F24:G24" si="1">SUMPRODUCT(D18:D18,D13:D13)</f>
        <v>877510.45</v>
      </c>
      <c r="G24" s="19">
        <f t="shared" si="1"/>
        <v>930574.58</v>
      </c>
    </row>
    <row r="25" spans="2:11">
      <c r="B25" s="188" t="s">
        <v>28</v>
      </c>
      <c r="C25" s="73" t="s">
        <v>26</v>
      </c>
      <c r="D25" s="168"/>
      <c r="E25" s="19">
        <f>SUMPRODUCT(D13:D13,D18:D18)</f>
        <v>877510.45</v>
      </c>
      <c r="F25" s="19">
        <f t="shared" ref="F25:G25" si="2">SUMPRODUCT(E13:E13,E18:E18)</f>
        <v>930574.58</v>
      </c>
      <c r="G25" s="19">
        <f t="shared" si="2"/>
        <v>1035720.2899999999</v>
      </c>
    </row>
    <row r="26" spans="2:11">
      <c r="B26" s="188"/>
      <c r="C26" s="73" t="s">
        <v>27</v>
      </c>
      <c r="D26" s="168"/>
      <c r="E26" s="19">
        <f>SUMPRODUCT(D18:D18,C13:C13)</f>
        <v>954218.60902024049</v>
      </c>
      <c r="F26" s="19">
        <f t="shared" ref="F26:G26" si="3">SUMPRODUCT(E18:E18,D13:D13)</f>
        <v>882919.21603673801</v>
      </c>
      <c r="G26" s="19">
        <f t="shared" si="3"/>
        <v>874170.30819121434</v>
      </c>
    </row>
    <row r="27" spans="2:11">
      <c r="B27" s="185" t="s">
        <v>29</v>
      </c>
      <c r="C27" s="185"/>
      <c r="D27" s="169"/>
      <c r="E27" s="20">
        <f>((E23/E24)*(E25/E26))^0.5</f>
        <v>0.91961154572430526</v>
      </c>
      <c r="F27" s="20">
        <f>((F23/F24)*(F25/F26))^0.5</f>
        <v>1.0539747726606044</v>
      </c>
      <c r="G27" s="20">
        <f>((G23/G24)*(G25/G26))^0.5</f>
        <v>1.184803785137768</v>
      </c>
    </row>
    <row r="28" spans="2:11">
      <c r="B28" s="186" t="s">
        <v>113</v>
      </c>
      <c r="C28" s="186"/>
      <c r="D28" s="171"/>
      <c r="E28" s="165">
        <f>LN(E27)</f>
        <v>-8.3803931012829291E-2</v>
      </c>
      <c r="F28" s="165">
        <f>LN(F27)</f>
        <v>5.2568514975615703E-2</v>
      </c>
      <c r="G28" s="165">
        <f>LN(G27)</f>
        <v>0.16957717871463368</v>
      </c>
    </row>
    <row r="29" spans="2:11">
      <c r="C29" s="4"/>
      <c r="D29" s="8"/>
      <c r="F29" s="23" t="s">
        <v>31</v>
      </c>
      <c r="G29" s="166">
        <f>+AVERAGE(E28:G28)</f>
        <v>4.6113920892473369E-2</v>
      </c>
    </row>
    <row r="30" spans="2:11">
      <c r="B30" s="48" t="s">
        <v>81</v>
      </c>
      <c r="C30" s="4"/>
      <c r="D30" s="8"/>
      <c r="F30" s="47"/>
      <c r="G30" s="22"/>
    </row>
    <row r="31" spans="2:11">
      <c r="C31" s="4"/>
      <c r="D31" s="8"/>
      <c r="E31" s="9"/>
      <c r="F31" s="9"/>
      <c r="G31" s="9"/>
    </row>
    <row r="32" spans="2:11">
      <c r="B32" s="187"/>
      <c r="C32" s="187"/>
      <c r="D32" s="49">
        <v>2015</v>
      </c>
      <c r="E32" s="49">
        <f>D32+1</f>
        <v>2016</v>
      </c>
      <c r="F32" s="49">
        <f>E32+1</f>
        <v>2017</v>
      </c>
      <c r="G32" s="49">
        <f>F32+1</f>
        <v>2018</v>
      </c>
    </row>
    <row r="33" spans="2:8">
      <c r="B33" s="188" t="s">
        <v>25</v>
      </c>
      <c r="C33" s="73" t="s">
        <v>26</v>
      </c>
      <c r="D33" s="168"/>
      <c r="E33" s="19">
        <f>SUMPRODUCT(D18:D18,C13:C13)</f>
        <v>954218.60902024049</v>
      </c>
      <c r="F33" s="19">
        <f t="shared" ref="F33:G33" si="4">SUMPRODUCT(E18:E18,D13:D13)</f>
        <v>882919.21603673801</v>
      </c>
      <c r="G33" s="19">
        <f t="shared" si="4"/>
        <v>874170.30819121434</v>
      </c>
    </row>
    <row r="34" spans="2:8">
      <c r="B34" s="188"/>
      <c r="C34" s="73" t="s">
        <v>27</v>
      </c>
      <c r="D34" s="168"/>
      <c r="E34" s="19">
        <f>SUMPRODUCT(C18:C18,C13:C13)</f>
        <v>934739.02999999991</v>
      </c>
      <c r="F34" s="19">
        <f t="shared" ref="F34:G34" si="5">SUMPRODUCT(D18:D18,D13:D13)</f>
        <v>877510.45</v>
      </c>
      <c r="G34" s="19">
        <f t="shared" si="5"/>
        <v>930574.58</v>
      </c>
    </row>
    <row r="35" spans="2:8">
      <c r="B35" s="188" t="s">
        <v>28</v>
      </c>
      <c r="C35" s="73" t="s">
        <v>26</v>
      </c>
      <c r="D35" s="168"/>
      <c r="E35" s="19">
        <f>SUMPRODUCT(D13:D13,D18:D18)</f>
        <v>877510.45</v>
      </c>
      <c r="F35" s="19">
        <f t="shared" ref="F35:G35" si="6">SUMPRODUCT(E13:E13,E18:E18)</f>
        <v>930574.58</v>
      </c>
      <c r="G35" s="19">
        <f t="shared" si="6"/>
        <v>1035720.2899999999</v>
      </c>
    </row>
    <row r="36" spans="2:8">
      <c r="B36" s="188"/>
      <c r="C36" s="73" t="s">
        <v>27</v>
      </c>
      <c r="D36" s="168"/>
      <c r="E36" s="19">
        <f>SUMPRODUCT(D13:D13,C18:C18)</f>
        <v>859596.80422713771</v>
      </c>
      <c r="F36" s="19">
        <f t="shared" ref="F36:G36" si="7">SUMPRODUCT(E13:E13,D18:D18)</f>
        <v>924873.87704605458</v>
      </c>
      <c r="G36" s="19">
        <f t="shared" si="7"/>
        <v>1102548.2847369886</v>
      </c>
    </row>
    <row r="37" spans="2:8">
      <c r="B37" s="185" t="s">
        <v>29</v>
      </c>
      <c r="C37" s="185"/>
      <c r="D37" s="169"/>
      <c r="E37" s="20">
        <f>((E33/E34)*(E35/E36))^0.5</f>
        <v>1.0208395909393455</v>
      </c>
      <c r="F37" s="20">
        <f>((F33/F34)*(F35/F36))^0.5</f>
        <v>1.0061637625360906</v>
      </c>
      <c r="G37" s="20">
        <f>((G33/G34)*(G35/G36))^0.5</f>
        <v>0.93938769334448657</v>
      </c>
    </row>
    <row r="38" spans="2:8">
      <c r="B38" s="186" t="s">
        <v>39</v>
      </c>
      <c r="C38" s="186"/>
      <c r="D38" s="171"/>
      <c r="E38" s="21">
        <f>LN(E37)</f>
        <v>2.0625417083714952E-2</v>
      </c>
      <c r="F38" s="21">
        <f>LN(F37)</f>
        <v>6.1448442505370529E-3</v>
      </c>
      <c r="G38" s="21">
        <f>LN(G37)</f>
        <v>-6.2527006023824078E-2</v>
      </c>
    </row>
    <row r="39" spans="2:8">
      <c r="C39" s="4"/>
      <c r="D39" s="8"/>
      <c r="E39" s="9"/>
      <c r="F39" s="23" t="s">
        <v>31</v>
      </c>
      <c r="G39" s="24">
        <f>+AVERAGE(E38:G38)</f>
        <v>-1.1918914896524024E-2</v>
      </c>
    </row>
    <row r="40" spans="2:8">
      <c r="B40" s="14"/>
      <c r="C40" s="13"/>
      <c r="D40" s="8"/>
      <c r="E40" s="9"/>
      <c r="F40" s="9"/>
      <c r="G40" s="9"/>
      <c r="H40" s="8"/>
    </row>
    <row r="41" spans="2:8">
      <c r="B41" s="14"/>
      <c r="C41" s="13"/>
      <c r="D41" s="14"/>
      <c r="E41" s="14"/>
      <c r="F41" s="14"/>
      <c r="G41" s="8"/>
      <c r="H41" s="7"/>
    </row>
  </sheetData>
  <dataConsolidate/>
  <mergeCells count="10">
    <mergeCell ref="B22:C22"/>
    <mergeCell ref="B23:B24"/>
    <mergeCell ref="B25:B26"/>
    <mergeCell ref="B27:C27"/>
    <mergeCell ref="B38:C38"/>
    <mergeCell ref="B28:C28"/>
    <mergeCell ref="B32:C32"/>
    <mergeCell ref="B33:B34"/>
    <mergeCell ref="B35:B36"/>
    <mergeCell ref="B37:C3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O40"/>
  <sheetViews>
    <sheetView showGridLines="0" zoomScaleNormal="100" workbookViewId="0">
      <selection activeCell="F30" sqref="F30"/>
    </sheetView>
  </sheetViews>
  <sheetFormatPr baseColWidth="10" defaultRowHeight="15"/>
  <cols>
    <col min="1" max="1" width="11.42578125" style="1"/>
    <col min="2" max="2" width="34.140625" style="1" bestFit="1" customWidth="1"/>
    <col min="3" max="3" width="14.5703125" style="1" customWidth="1"/>
    <col min="4" max="5" width="11.42578125" style="1"/>
    <col min="6" max="6" width="12.7109375" style="1" bestFit="1" customWidth="1"/>
    <col min="7" max="16384" width="11.42578125" style="1"/>
  </cols>
  <sheetData>
    <row r="3" spans="2:15">
      <c r="B3" s="2" t="s">
        <v>174</v>
      </c>
      <c r="C3" s="41"/>
      <c r="D3" s="41"/>
      <c r="E3" s="41"/>
      <c r="F3" s="41"/>
      <c r="H3" s="41"/>
      <c r="I3" s="41"/>
      <c r="J3" s="41"/>
      <c r="K3" s="41"/>
      <c r="L3" s="41"/>
      <c r="M3" s="41"/>
      <c r="N3" s="41"/>
      <c r="O3" s="41"/>
    </row>
    <row r="4" spans="2:15">
      <c r="C4" s="15"/>
      <c r="D4" s="15"/>
      <c r="E4" s="15"/>
      <c r="F4" s="15"/>
    </row>
    <row r="5" spans="2:15">
      <c r="B5" s="98"/>
      <c r="C5" s="18">
        <v>2015</v>
      </c>
      <c r="D5" s="18">
        <f>+C5+1</f>
        <v>2016</v>
      </c>
      <c r="E5" s="18">
        <f>+D5+1</f>
        <v>2017</v>
      </c>
      <c r="F5" s="18">
        <f>+E5+1</f>
        <v>2018</v>
      </c>
    </row>
    <row r="6" spans="2:15">
      <c r="B6" s="103" t="s">
        <v>40</v>
      </c>
      <c r="C6" s="104">
        <v>7703988.3800000008</v>
      </c>
      <c r="D6" s="104">
        <v>7039359.4299999997</v>
      </c>
      <c r="E6" s="104">
        <v>7152650.3900000006</v>
      </c>
      <c r="F6" s="104">
        <v>7255548.7299999995</v>
      </c>
    </row>
    <row r="8" spans="2:15">
      <c r="B8" s="3" t="s">
        <v>41</v>
      </c>
    </row>
    <row r="10" spans="2:15">
      <c r="B10" s="98"/>
      <c r="C10" s="18">
        <f>+C5</f>
        <v>2015</v>
      </c>
      <c r="D10" s="18">
        <f>+D5</f>
        <v>2016</v>
      </c>
      <c r="E10" s="18">
        <f>+E5</f>
        <v>2017</v>
      </c>
      <c r="F10" s="18">
        <f>+F5</f>
        <v>2018</v>
      </c>
    </row>
    <row r="11" spans="2:15">
      <c r="B11" s="103" t="s">
        <v>40</v>
      </c>
      <c r="C11" s="104">
        <f>+C6/'Datos Macro'!F17</f>
        <v>7703988.3800000008</v>
      </c>
      <c r="D11" s="104">
        <f>+D6/'Datos Macro'!G17</f>
        <v>7202635.7045373488</v>
      </c>
      <c r="E11" s="104">
        <f>+E6/'Datos Macro'!H17</f>
        <v>6876614.7396698715</v>
      </c>
      <c r="F11" s="104">
        <f>+F6/'Datos Macro'!I17</f>
        <v>6939696.1549970154</v>
      </c>
    </row>
    <row r="13" spans="2:15">
      <c r="B13" s="3" t="s">
        <v>175</v>
      </c>
    </row>
    <row r="15" spans="2:15">
      <c r="B15" s="98"/>
      <c r="C15" s="18">
        <v>2015</v>
      </c>
      <c r="D15" s="18">
        <f>+C15+1</f>
        <v>2016</v>
      </c>
      <c r="E15" s="18">
        <f>+D15+1</f>
        <v>2017</v>
      </c>
      <c r="F15" s="18">
        <f>+E15+1</f>
        <v>2018</v>
      </c>
    </row>
    <row r="16" spans="2:15">
      <c r="B16" s="103" t="s">
        <v>40</v>
      </c>
      <c r="C16" s="104">
        <f>+($C6/$C11)*C11</f>
        <v>7703988.3800000008</v>
      </c>
      <c r="D16" s="104">
        <f>+($C6/$C11)*D11</f>
        <v>7202635.7045373488</v>
      </c>
      <c r="E16" s="104">
        <f>+($C6/$C11)*E11</f>
        <v>6876614.7396698715</v>
      </c>
      <c r="F16" s="104">
        <f>+($C6/$C11)*F11</f>
        <v>6939696.1549970154</v>
      </c>
    </row>
    <row r="17" spans="2:7">
      <c r="B17" s="16"/>
    </row>
    <row r="18" spans="2:7">
      <c r="B18" s="3" t="s">
        <v>173</v>
      </c>
    </row>
    <row r="19" spans="2:7">
      <c r="B19" s="3"/>
    </row>
    <row r="20" spans="2:7">
      <c r="B20" s="98"/>
      <c r="C20" s="18">
        <f>+C15</f>
        <v>2015</v>
      </c>
      <c r="D20" s="18">
        <f>+D15</f>
        <v>2016</v>
      </c>
      <c r="E20" s="18">
        <f>+E15</f>
        <v>2017</v>
      </c>
      <c r="F20" s="18">
        <f>+F15</f>
        <v>2018</v>
      </c>
    </row>
    <row r="21" spans="2:7">
      <c r="B21" s="103" t="s">
        <v>40</v>
      </c>
      <c r="C21" s="20">
        <f>+C6/C16</f>
        <v>1</v>
      </c>
      <c r="D21" s="20">
        <f>+D6/D16</f>
        <v>0.97733103807617372</v>
      </c>
      <c r="E21" s="20">
        <f>+E6/E16</f>
        <v>1.0401412120323874</v>
      </c>
      <c r="F21" s="20">
        <f>+F6/F16</f>
        <v>1.0455138910909738</v>
      </c>
    </row>
    <row r="22" spans="2:7">
      <c r="C22" s="6" t="s">
        <v>22</v>
      </c>
      <c r="D22" s="25"/>
      <c r="E22" s="25"/>
      <c r="F22" s="25"/>
      <c r="G22" s="25"/>
    </row>
    <row r="24" spans="2:7">
      <c r="B24" s="189"/>
      <c r="C24" s="190"/>
      <c r="D24" s="18">
        <f>+C20</f>
        <v>2015</v>
      </c>
      <c r="E24" s="18">
        <f>+D20</f>
        <v>2016</v>
      </c>
      <c r="F24" s="18">
        <f>+E20</f>
        <v>2017</v>
      </c>
      <c r="G24" s="18">
        <f>+F20</f>
        <v>2018</v>
      </c>
    </row>
    <row r="25" spans="2:7">
      <c r="B25" s="188" t="s">
        <v>25</v>
      </c>
      <c r="C25" s="73" t="s">
        <v>26</v>
      </c>
      <c r="D25" s="168"/>
      <c r="E25" s="19">
        <f>SUMPRODUCT(C21,D16)</f>
        <v>7202635.7045373488</v>
      </c>
      <c r="F25" s="19">
        <f t="shared" ref="F25:G25" si="0">SUMPRODUCT(D21,E16)</f>
        <v>6720729.0219714725</v>
      </c>
      <c r="G25" s="19">
        <f t="shared" si="0"/>
        <v>7218263.9697950939</v>
      </c>
    </row>
    <row r="26" spans="2:7">
      <c r="B26" s="188"/>
      <c r="C26" s="73" t="s">
        <v>27</v>
      </c>
      <c r="D26" s="168"/>
      <c r="E26" s="19">
        <f>SUMPRODUCT(C21,C16)</f>
        <v>7703988.3800000008</v>
      </c>
      <c r="F26" s="19">
        <f t="shared" ref="F26:G26" si="1">SUMPRODUCT(D21,D16)</f>
        <v>7039359.4299999997</v>
      </c>
      <c r="G26" s="19">
        <f t="shared" si="1"/>
        <v>7152650.3900000006</v>
      </c>
    </row>
    <row r="27" spans="2:7">
      <c r="B27" s="188" t="s">
        <v>28</v>
      </c>
      <c r="C27" s="73" t="s">
        <v>26</v>
      </c>
      <c r="D27" s="168"/>
      <c r="E27" s="19">
        <f>SUMPRODUCT(D16,D21)</f>
        <v>7039359.4299999997</v>
      </c>
      <c r="F27" s="19">
        <f t="shared" ref="F27:G27" si="2">SUMPRODUCT(E16,E21)</f>
        <v>7152650.3900000006</v>
      </c>
      <c r="G27" s="19">
        <f t="shared" si="2"/>
        <v>7255548.7299999995</v>
      </c>
    </row>
    <row r="28" spans="2:7">
      <c r="B28" s="188"/>
      <c r="C28" s="73" t="s">
        <v>27</v>
      </c>
      <c r="D28" s="168"/>
      <c r="E28" s="19">
        <f>SUMPRODUCT(D21,C16)</f>
        <v>7529346.9607521808</v>
      </c>
      <c r="F28" s="19">
        <f t="shared" ref="F28:G28" si="3">SUMPRODUCT(E21,D16)</f>
        <v>7491758.2315452266</v>
      </c>
      <c r="G28" s="19">
        <f t="shared" si="3"/>
        <v>7189596.2340057911</v>
      </c>
    </row>
    <row r="29" spans="2:7">
      <c r="B29" s="191" t="s">
        <v>29</v>
      </c>
      <c r="C29" s="192"/>
      <c r="D29" s="169"/>
      <c r="E29" s="20">
        <f>((E25/E26)*(E27/E28))^0.5</f>
        <v>0.93492297096862287</v>
      </c>
      <c r="F29" s="20">
        <f>((F25/F26)*(F27/F28))^0.5</f>
        <v>0.95473588027475853</v>
      </c>
      <c r="G29" s="20">
        <f>((G25/G26)*(G27/G28))^0.5</f>
        <v>1.0091733240431864</v>
      </c>
    </row>
    <row r="30" spans="2:7">
      <c r="B30" s="193" t="s">
        <v>113</v>
      </c>
      <c r="C30" s="194"/>
      <c r="D30" s="170"/>
      <c r="E30" s="165">
        <f>LN(E29)</f>
        <v>-6.7291137077975099E-2</v>
      </c>
      <c r="F30" s="165">
        <f>LN(F29)</f>
        <v>-4.6320541909923629E-2</v>
      </c>
      <c r="G30" s="165">
        <f>LN(G29)</f>
        <v>9.1315046601326347E-3</v>
      </c>
    </row>
    <row r="31" spans="2:7">
      <c r="D31" s="22"/>
      <c r="F31" s="23" t="s">
        <v>31</v>
      </c>
      <c r="G31" s="166">
        <f>+AVERAGE(E30:G30)</f>
        <v>-3.4826724775922031E-2</v>
      </c>
    </row>
    <row r="32" spans="2:7">
      <c r="C32" s="4"/>
    </row>
    <row r="33" spans="2:7">
      <c r="B33" s="189"/>
      <c r="C33" s="190"/>
      <c r="D33" s="18">
        <f>+D24</f>
        <v>2015</v>
      </c>
      <c r="E33" s="18">
        <f>+E24</f>
        <v>2016</v>
      </c>
      <c r="F33" s="18">
        <f>+F24</f>
        <v>2017</v>
      </c>
      <c r="G33" s="18">
        <f>+G24</f>
        <v>2018</v>
      </c>
    </row>
    <row r="34" spans="2:7">
      <c r="B34" s="188" t="s">
        <v>25</v>
      </c>
      <c r="C34" s="73" t="s">
        <v>26</v>
      </c>
      <c r="D34" s="168"/>
      <c r="E34" s="19">
        <f>SUMPRODUCT(D21,C16)</f>
        <v>7529346.9607521808</v>
      </c>
      <c r="F34" s="19">
        <f t="shared" ref="F34:G34" si="4">SUMPRODUCT(E21,D16)</f>
        <v>7491758.2315452266</v>
      </c>
      <c r="G34" s="19">
        <f t="shared" si="4"/>
        <v>7189596.2340057911</v>
      </c>
    </row>
    <row r="35" spans="2:7">
      <c r="B35" s="188"/>
      <c r="C35" s="73" t="s">
        <v>27</v>
      </c>
      <c r="D35" s="168"/>
      <c r="E35" s="19">
        <f>SUMPRODUCT(C21,C16)</f>
        <v>7703988.3800000008</v>
      </c>
      <c r="F35" s="19">
        <f t="shared" ref="F35:G35" si="5">SUMPRODUCT(D21,D16)</f>
        <v>7039359.4299999997</v>
      </c>
      <c r="G35" s="19">
        <f t="shared" si="5"/>
        <v>7152650.3900000006</v>
      </c>
    </row>
    <row r="36" spans="2:7">
      <c r="B36" s="188" t="s">
        <v>28</v>
      </c>
      <c r="C36" s="73" t="s">
        <v>26</v>
      </c>
      <c r="D36" s="168"/>
      <c r="E36" s="19">
        <f>SUMPRODUCT(D16,D21)</f>
        <v>7039359.4299999997</v>
      </c>
      <c r="F36" s="19">
        <f t="shared" ref="F36:G36" si="6">SUMPRODUCT(E16,E21)</f>
        <v>7152650.3900000006</v>
      </c>
      <c r="G36" s="19">
        <f t="shared" si="6"/>
        <v>7255548.7299999995</v>
      </c>
    </row>
    <row r="37" spans="2:7">
      <c r="B37" s="188"/>
      <c r="C37" s="73" t="s">
        <v>27</v>
      </c>
      <c r="D37" s="168"/>
      <c r="E37" s="19">
        <f>SUMPRODUCT(D16,C21)</f>
        <v>7202635.7045373488</v>
      </c>
      <c r="F37" s="19">
        <f t="shared" ref="F37:G37" si="7">SUMPRODUCT(E16,D21)</f>
        <v>6720729.0219714725</v>
      </c>
      <c r="G37" s="19">
        <f t="shared" si="7"/>
        <v>7218263.9697950939</v>
      </c>
    </row>
    <row r="38" spans="2:7">
      <c r="B38" s="191" t="s">
        <v>29</v>
      </c>
      <c r="C38" s="192"/>
      <c r="D38" s="169"/>
      <c r="E38" s="20">
        <f>((E34/E35)*(E36/E37))^0.5</f>
        <v>0.97733103807617372</v>
      </c>
      <c r="F38" s="20">
        <f>((F34/F35)*(F36/F37))^0.5</f>
        <v>1.0642670410630286</v>
      </c>
      <c r="G38" s="20">
        <f>((G34/G35)*(G36/G37))^0.5</f>
        <v>1.0051653362028492</v>
      </c>
    </row>
    <row r="39" spans="2:7">
      <c r="B39" s="193" t="s">
        <v>39</v>
      </c>
      <c r="C39" s="194"/>
      <c r="D39" s="170"/>
      <c r="E39" s="165">
        <f>LN(E38)</f>
        <v>-2.2929853136052666E-2</v>
      </c>
      <c r="F39" s="165">
        <f>LN(F38)</f>
        <v>6.2286337872328089E-2</v>
      </c>
      <c r="G39" s="165">
        <f>LN(G38)</f>
        <v>5.1520416148308889E-3</v>
      </c>
    </row>
    <row r="40" spans="2:7">
      <c r="D40" s="22"/>
      <c r="F40" s="23" t="s">
        <v>31</v>
      </c>
      <c r="G40" s="166">
        <f>+AVERAGE(E39:G39)</f>
        <v>1.4836175450368772E-2</v>
      </c>
    </row>
  </sheetData>
  <mergeCells count="10">
    <mergeCell ref="B24:C24"/>
    <mergeCell ref="B25:B26"/>
    <mergeCell ref="B27:B28"/>
    <mergeCell ref="B29:C29"/>
    <mergeCell ref="B30:C30"/>
    <mergeCell ref="B33:C33"/>
    <mergeCell ref="B34:B35"/>
    <mergeCell ref="B36:B37"/>
    <mergeCell ref="B38:C38"/>
    <mergeCell ref="B39:C3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162"/>
  <sheetViews>
    <sheetView showGridLines="0" topLeftCell="A130" zoomScaleNormal="100" workbookViewId="0">
      <selection activeCell="E151" sqref="E151:G151"/>
    </sheetView>
  </sheetViews>
  <sheetFormatPr baseColWidth="10" defaultRowHeight="15"/>
  <cols>
    <col min="1" max="1" width="12.42578125" style="1" bestFit="1" customWidth="1"/>
    <col min="2" max="2" width="42.5703125" style="1" customWidth="1"/>
    <col min="3" max="3" width="14.5703125" style="1" bestFit="1" customWidth="1"/>
    <col min="4" max="6" width="12.42578125" style="1" bestFit="1" customWidth="1"/>
    <col min="7" max="7" width="12.7109375" style="1" bestFit="1" customWidth="1"/>
    <col min="8" max="8" width="14.7109375" style="1" bestFit="1" customWidth="1"/>
    <col min="9" max="9" width="15" style="1" bestFit="1" customWidth="1"/>
    <col min="10" max="10" width="11.42578125" style="1" customWidth="1"/>
    <col min="11" max="11" width="13.5703125" style="1" customWidth="1"/>
    <col min="12" max="13" width="11.42578125" style="1" customWidth="1"/>
    <col min="14" max="14" width="12.140625" style="1" customWidth="1"/>
    <col min="15" max="15" width="13.28515625" style="1" customWidth="1"/>
    <col min="16" max="17" width="11.42578125" style="1" customWidth="1"/>
    <col min="18" max="19" width="11.42578125" style="1"/>
    <col min="20" max="20" width="12.85546875" style="1" customWidth="1"/>
    <col min="21" max="23" width="11.42578125" style="1"/>
    <col min="24" max="24" width="14" style="1" customWidth="1"/>
    <col min="25" max="16384" width="11.42578125" style="1"/>
  </cols>
  <sheetData>
    <row r="2" spans="2:6">
      <c r="B2" s="2" t="s">
        <v>160</v>
      </c>
    </row>
    <row r="4" spans="2:6">
      <c r="B4" s="97"/>
      <c r="C4" s="18">
        <v>2015</v>
      </c>
      <c r="D4" s="18">
        <f>+C4+1</f>
        <v>2016</v>
      </c>
      <c r="E4" s="18">
        <f>+D4+1</f>
        <v>2017</v>
      </c>
      <c r="F4" s="18">
        <f>+E4+1</f>
        <v>2018</v>
      </c>
    </row>
    <row r="5" spans="2:6">
      <c r="B5" s="30" t="s">
        <v>147</v>
      </c>
      <c r="C5" s="19"/>
      <c r="D5" s="19"/>
      <c r="E5" s="19"/>
      <c r="F5" s="19"/>
    </row>
    <row r="6" spans="2:6">
      <c r="B6" s="26" t="s">
        <v>148</v>
      </c>
      <c r="C6" s="19">
        <v>562660</v>
      </c>
      <c r="D6" s="19">
        <v>562660</v>
      </c>
      <c r="E6" s="19">
        <v>562660</v>
      </c>
      <c r="F6" s="19">
        <v>562660</v>
      </c>
    </row>
    <row r="7" spans="2:6">
      <c r="B7" s="26" t="s">
        <v>149</v>
      </c>
      <c r="C7" s="19">
        <v>603377</v>
      </c>
      <c r="D7" s="19">
        <v>569511</v>
      </c>
      <c r="E7" s="19">
        <v>535645</v>
      </c>
      <c r="F7" s="19">
        <v>501779</v>
      </c>
    </row>
    <row r="8" spans="2:6">
      <c r="B8" s="26" t="s">
        <v>150</v>
      </c>
      <c r="C8" s="19">
        <v>535131</v>
      </c>
      <c r="D8" s="19">
        <v>484634</v>
      </c>
      <c r="E8" s="19">
        <v>434137</v>
      </c>
      <c r="F8" s="19">
        <v>383640</v>
      </c>
    </row>
    <row r="9" spans="2:6">
      <c r="B9" s="26" t="s">
        <v>151</v>
      </c>
      <c r="C9" s="19">
        <v>73160</v>
      </c>
      <c r="D9" s="19">
        <v>64210</v>
      </c>
      <c r="E9" s="19">
        <v>55776</v>
      </c>
      <c r="F9" s="19">
        <v>47302</v>
      </c>
    </row>
    <row r="10" spans="2:6">
      <c r="B10" s="26" t="s">
        <v>152</v>
      </c>
      <c r="C10" s="19">
        <v>18901</v>
      </c>
      <c r="D10" s="19">
        <v>15738</v>
      </c>
      <c r="E10" s="19">
        <v>17112</v>
      </c>
      <c r="F10" s="19">
        <v>12140</v>
      </c>
    </row>
    <row r="11" spans="2:6">
      <c r="B11" s="26" t="s">
        <v>153</v>
      </c>
      <c r="C11" s="19">
        <v>33694</v>
      </c>
      <c r="D11" s="19">
        <v>37086</v>
      </c>
      <c r="E11" s="19">
        <v>32537</v>
      </c>
      <c r="F11" s="19">
        <v>39162</v>
      </c>
    </row>
    <row r="12" spans="2:6">
      <c r="B12" s="26" t="s">
        <v>154</v>
      </c>
      <c r="C12" s="19">
        <v>14985</v>
      </c>
      <c r="D12" s="19">
        <v>13623</v>
      </c>
      <c r="E12" s="19">
        <v>12261</v>
      </c>
      <c r="F12" s="19">
        <v>10899</v>
      </c>
    </row>
    <row r="13" spans="2:6">
      <c r="B13" s="30" t="s">
        <v>155</v>
      </c>
      <c r="C13" s="19"/>
      <c r="D13" s="19"/>
      <c r="E13" s="19"/>
      <c r="F13" s="19"/>
    </row>
    <row r="14" spans="2:6">
      <c r="B14" s="26" t="s">
        <v>156</v>
      </c>
      <c r="C14" s="19">
        <v>501997.98167375813</v>
      </c>
      <c r="D14" s="19">
        <v>647636.96334751637</v>
      </c>
      <c r="E14" s="19">
        <v>639203.94502127462</v>
      </c>
      <c r="F14" s="19">
        <v>718961.9700000002</v>
      </c>
    </row>
    <row r="15" spans="2:6">
      <c r="B15" s="26" t="s">
        <v>157</v>
      </c>
      <c r="C15" s="19">
        <v>29340</v>
      </c>
      <c r="D15" s="19">
        <v>29655</v>
      </c>
      <c r="E15" s="19">
        <v>25549</v>
      </c>
      <c r="F15" s="19">
        <v>21443</v>
      </c>
    </row>
    <row r="16" spans="2:6">
      <c r="B16" s="26" t="s">
        <v>158</v>
      </c>
      <c r="C16" s="19">
        <v>34856</v>
      </c>
      <c r="D16" s="19">
        <v>62161</v>
      </c>
      <c r="E16" s="19">
        <v>54705</v>
      </c>
      <c r="F16" s="19">
        <v>47249</v>
      </c>
    </row>
    <row r="17" spans="2:17">
      <c r="C17" s="161"/>
      <c r="D17" s="161"/>
      <c r="E17" s="161"/>
      <c r="F17" s="161"/>
      <c r="G17" s="161"/>
    </row>
    <row r="21" spans="2:17">
      <c r="B21" s="2" t="s">
        <v>159</v>
      </c>
      <c r="D21" s="6"/>
      <c r="E21" s="6"/>
      <c r="F21" s="6"/>
      <c r="G21" s="6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3" spans="2:17" ht="15" customHeight="1">
      <c r="B23" s="90" t="s">
        <v>2</v>
      </c>
      <c r="C23" s="91" t="s">
        <v>33</v>
      </c>
    </row>
    <row r="24" spans="2:17">
      <c r="B24" s="94" t="s">
        <v>70</v>
      </c>
      <c r="C24" s="95">
        <f>113205195.56*(1-0.18)</f>
        <v>92828260.359200016</v>
      </c>
    </row>
    <row r="25" spans="2:17">
      <c r="B25" s="94" t="s">
        <v>163</v>
      </c>
      <c r="C25" s="96">
        <f>+'WACC - cálculo'!I87</f>
        <v>9.3487152729916395E-2</v>
      </c>
    </row>
    <row r="26" spans="2:17">
      <c r="B26" s="94" t="s">
        <v>165</v>
      </c>
      <c r="C26" s="162">
        <f>20-3.33</f>
        <v>16.670000000000002</v>
      </c>
    </row>
    <row r="27" spans="2:17">
      <c r="B27" s="92" t="s">
        <v>76</v>
      </c>
      <c r="C27" s="93">
        <f>+PMT(C25,C26,-C24)</f>
        <v>11203688.939620653</v>
      </c>
    </row>
    <row r="32" spans="2:17">
      <c r="B32" s="2" t="s">
        <v>77</v>
      </c>
    </row>
    <row r="34" spans="2:12">
      <c r="B34" s="2" t="s">
        <v>80</v>
      </c>
      <c r="D34" s="6"/>
      <c r="H34" s="6"/>
      <c r="I34" s="6"/>
      <c r="J34" s="6"/>
      <c r="K34" s="6"/>
      <c r="L34" s="6"/>
    </row>
    <row r="36" spans="2:12">
      <c r="B36" s="97"/>
      <c r="C36" s="18">
        <v>2015</v>
      </c>
      <c r="D36" s="18">
        <f>+C36+1</f>
        <v>2016</v>
      </c>
      <c r="E36" s="18">
        <f>+D36+1</f>
        <v>2017</v>
      </c>
      <c r="F36" s="18">
        <f>+E36+1</f>
        <v>2018</v>
      </c>
    </row>
    <row r="37" spans="2:12">
      <c r="B37" s="30" t="s">
        <v>147</v>
      </c>
      <c r="C37" s="19"/>
      <c r="D37" s="19"/>
      <c r="E37" s="19"/>
      <c r="F37" s="19"/>
    </row>
    <row r="38" spans="2:12">
      <c r="B38" s="26" t="s">
        <v>148</v>
      </c>
      <c r="C38" s="19">
        <f t="shared" ref="C38:F44" si="0">+C6/D$68</f>
        <v>5476.6271476723732</v>
      </c>
      <c r="D38" s="19">
        <f t="shared" si="0"/>
        <v>5391.2274124996502</v>
      </c>
      <c r="E38" s="19">
        <f t="shared" si="0"/>
        <v>5330.1441641958754</v>
      </c>
      <c r="F38" s="19">
        <f t="shared" si="0"/>
        <v>5244.5162084486119</v>
      </c>
    </row>
    <row r="39" spans="2:12">
      <c r="B39" s="26" t="s">
        <v>149</v>
      </c>
      <c r="C39" s="19">
        <f t="shared" si="0"/>
        <v>5872.944333133888</v>
      </c>
      <c r="D39" s="19">
        <f t="shared" si="0"/>
        <v>5456.8714941884764</v>
      </c>
      <c r="E39" s="19">
        <f t="shared" si="0"/>
        <v>5074.2279010960438</v>
      </c>
      <c r="F39" s="19">
        <f t="shared" si="0"/>
        <v>4677.0484814259698</v>
      </c>
    </row>
    <row r="40" spans="2:12">
      <c r="B40" s="26" t="s">
        <v>150</v>
      </c>
      <c r="C40" s="19">
        <f t="shared" si="0"/>
        <v>5208.6747985658558</v>
      </c>
      <c r="D40" s="19">
        <f t="shared" si="0"/>
        <v>4643.60733983108</v>
      </c>
      <c r="E40" s="19">
        <f t="shared" si="0"/>
        <v>4112.6307130620708</v>
      </c>
      <c r="F40" s="19">
        <f t="shared" si="0"/>
        <v>3575.882767940187</v>
      </c>
    </row>
    <row r="41" spans="2:12">
      <c r="B41" s="26" t="s">
        <v>151</v>
      </c>
      <c r="C41" s="19">
        <f t="shared" si="0"/>
        <v>712.09974429266481</v>
      </c>
      <c r="D41" s="19">
        <f t="shared" si="0"/>
        <v>615.2395979038896</v>
      </c>
      <c r="E41" s="19">
        <f t="shared" si="0"/>
        <v>528.37258895636649</v>
      </c>
      <c r="F41" s="19">
        <f t="shared" si="0"/>
        <v>440.89877668936168</v>
      </c>
    </row>
    <row r="42" spans="2:12">
      <c r="B42" s="26" t="s">
        <v>152</v>
      </c>
      <c r="C42" s="19">
        <f t="shared" si="0"/>
        <v>183.97207855215498</v>
      </c>
      <c r="D42" s="19">
        <f t="shared" si="0"/>
        <v>150.79646148281287</v>
      </c>
      <c r="E42" s="19">
        <f t="shared" si="0"/>
        <v>162.10398275640674</v>
      </c>
      <c r="F42" s="19">
        <f t="shared" si="0"/>
        <v>113.15612762692595</v>
      </c>
    </row>
    <row r="43" spans="2:12">
      <c r="B43" s="26" t="s">
        <v>153</v>
      </c>
      <c r="C43" s="19">
        <f t="shared" si="0"/>
        <v>327.95911405408759</v>
      </c>
      <c r="D43" s="19">
        <f t="shared" si="0"/>
        <v>355.34614122198491</v>
      </c>
      <c r="E43" s="19">
        <f t="shared" si="0"/>
        <v>308.22681667515229</v>
      </c>
      <c r="F43" s="19">
        <f t="shared" si="0"/>
        <v>365.02638139420708</v>
      </c>
    </row>
    <row r="44" spans="2:12">
      <c r="B44" s="26" t="s">
        <v>154</v>
      </c>
      <c r="C44" s="19">
        <f t="shared" si="0"/>
        <v>145.85585932511731</v>
      </c>
      <c r="D44" s="19">
        <f t="shared" si="0"/>
        <v>130.53121074980047</v>
      </c>
      <c r="E44" s="19">
        <f t="shared" si="0"/>
        <v>116.14989087051795</v>
      </c>
      <c r="F44" s="19">
        <f t="shared" si="0"/>
        <v>101.58884967099389</v>
      </c>
    </row>
    <row r="45" spans="2:12">
      <c r="B45" s="30" t="s">
        <v>75</v>
      </c>
      <c r="C45" s="19">
        <f>$C$27/D$68</f>
        <v>109050.62915580132</v>
      </c>
      <c r="D45" s="19">
        <f>$C$27/E$68</f>
        <v>107350.14917072833</v>
      </c>
      <c r="E45" s="19">
        <f>$C$27/F$68</f>
        <v>106133.85920268884</v>
      </c>
      <c r="F45" s="19">
        <f>$C$27/G$68</f>
        <v>104428.83488831081</v>
      </c>
    </row>
    <row r="46" spans="2:12">
      <c r="B46" s="30" t="s">
        <v>155</v>
      </c>
      <c r="C46" s="19"/>
      <c r="D46" s="19"/>
      <c r="E46" s="19"/>
      <c r="F46" s="19"/>
    </row>
    <row r="47" spans="2:12">
      <c r="B47" s="26" t="s">
        <v>156</v>
      </c>
      <c r="C47" s="19">
        <f t="shared" ref="C47:F49" si="1">+C14/D$68</f>
        <v>4886.1759757424416</v>
      </c>
      <c r="D47" s="19">
        <f t="shared" si="1"/>
        <v>6205.449383548078</v>
      </c>
      <c r="E47" s="19">
        <f t="shared" si="1"/>
        <v>6055.2539318347281</v>
      </c>
      <c r="F47" s="19">
        <f t="shared" si="1"/>
        <v>6701.3964115507515</v>
      </c>
    </row>
    <row r="48" spans="2:12">
      <c r="B48" s="26" t="s">
        <v>157</v>
      </c>
      <c r="C48" s="19">
        <f t="shared" si="1"/>
        <v>285.57964048040986</v>
      </c>
      <c r="D48" s="19">
        <f t="shared" si="1"/>
        <v>284.14468580968457</v>
      </c>
      <c r="E48" s="19">
        <f t="shared" si="1"/>
        <v>242.02867317925643</v>
      </c>
      <c r="F48" s="19">
        <f t="shared" si="1"/>
        <v>199.8687680975431</v>
      </c>
    </row>
    <row r="49" spans="2:11">
      <c r="B49" s="26" t="s">
        <v>158</v>
      </c>
      <c r="C49" s="19">
        <f t="shared" si="1"/>
        <v>339.26939156731993</v>
      </c>
      <c r="D49" s="19">
        <f t="shared" si="1"/>
        <v>595.60673797389325</v>
      </c>
      <c r="E49" s="19">
        <f t="shared" si="1"/>
        <v>518.22688035818317</v>
      </c>
      <c r="F49" s="19">
        <f t="shared" si="1"/>
        <v>440.40476723596572</v>
      </c>
    </row>
    <row r="50" spans="2:11">
      <c r="C50" s="6"/>
      <c r="D50" s="6"/>
      <c r="E50" s="6"/>
      <c r="F50" s="6"/>
      <c r="G50" s="6"/>
      <c r="J50" s="6"/>
      <c r="K50" s="6"/>
    </row>
    <row r="51" spans="2:11">
      <c r="B51" s="2" t="s">
        <v>176</v>
      </c>
      <c r="C51" s="6"/>
      <c r="D51" s="6"/>
      <c r="E51" s="6"/>
      <c r="F51" s="6"/>
      <c r="G51" s="6"/>
      <c r="J51" s="6"/>
      <c r="K51" s="6"/>
    </row>
    <row r="52" spans="2:11">
      <c r="B52" s="97"/>
      <c r="C52" s="18">
        <v>2015</v>
      </c>
      <c r="D52" s="18">
        <f>+C52+1</f>
        <v>2016</v>
      </c>
      <c r="E52" s="18">
        <f>+D52+1</f>
        <v>2017</v>
      </c>
      <c r="F52" s="18">
        <f>+E52+1</f>
        <v>2018</v>
      </c>
    </row>
    <row r="53" spans="2:11">
      <c r="B53" s="30" t="s">
        <v>147</v>
      </c>
      <c r="C53" s="19"/>
      <c r="D53" s="19"/>
      <c r="E53" s="19"/>
      <c r="F53" s="19"/>
    </row>
    <row r="54" spans="2:11">
      <c r="B54" s="26" t="s">
        <v>148</v>
      </c>
      <c r="C54" s="19">
        <f>AVERAGE(C38)</f>
        <v>5476.6271476723732</v>
      </c>
      <c r="D54" s="19">
        <f t="shared" ref="D54:D61" si="2">AVERAGE(C38:D38)</f>
        <v>5433.9272800860117</v>
      </c>
      <c r="E54" s="19">
        <f t="shared" ref="E54:F54" si="3">AVERAGE(D38:E38)</f>
        <v>5360.6857883477624</v>
      </c>
      <c r="F54" s="19">
        <f t="shared" si="3"/>
        <v>5287.3301863222441</v>
      </c>
    </row>
    <row r="55" spans="2:11">
      <c r="B55" s="26" t="s">
        <v>149</v>
      </c>
      <c r="C55" s="19">
        <f t="shared" ref="C55:C61" si="4">AVERAGE(C39)</f>
        <v>5872.944333133888</v>
      </c>
      <c r="D55" s="19">
        <f t="shared" si="2"/>
        <v>5664.9079136611817</v>
      </c>
      <c r="E55" s="19">
        <f t="shared" ref="E55:F61" si="5">AVERAGE(D39:E39)</f>
        <v>5265.5496976422601</v>
      </c>
      <c r="F55" s="19">
        <f t="shared" si="5"/>
        <v>4875.6381912610068</v>
      </c>
    </row>
    <row r="56" spans="2:11">
      <c r="B56" s="26" t="s">
        <v>150</v>
      </c>
      <c r="C56" s="19">
        <f t="shared" si="4"/>
        <v>5208.6747985658558</v>
      </c>
      <c r="D56" s="19">
        <f t="shared" si="2"/>
        <v>4926.1410691984674</v>
      </c>
      <c r="E56" s="19">
        <f t="shared" si="5"/>
        <v>4378.1190264465749</v>
      </c>
      <c r="F56" s="19">
        <f t="shared" si="5"/>
        <v>3844.2567405011287</v>
      </c>
    </row>
    <row r="57" spans="2:11">
      <c r="B57" s="26" t="s">
        <v>151</v>
      </c>
      <c r="C57" s="19">
        <f t="shared" si="4"/>
        <v>712.09974429266481</v>
      </c>
      <c r="D57" s="19">
        <f t="shared" si="2"/>
        <v>663.66967109827715</v>
      </c>
      <c r="E57" s="19">
        <f t="shared" si="5"/>
        <v>571.80609343012804</v>
      </c>
      <c r="F57" s="19">
        <f t="shared" si="5"/>
        <v>484.63568282286406</v>
      </c>
    </row>
    <row r="58" spans="2:11">
      <c r="B58" s="26" t="s">
        <v>152</v>
      </c>
      <c r="C58" s="19">
        <f t="shared" si="4"/>
        <v>183.97207855215498</v>
      </c>
      <c r="D58" s="19">
        <f t="shared" si="2"/>
        <v>167.38427001748391</v>
      </c>
      <c r="E58" s="19">
        <f t="shared" si="5"/>
        <v>156.4502221196098</v>
      </c>
      <c r="F58" s="19">
        <f t="shared" si="5"/>
        <v>137.63005519166634</v>
      </c>
    </row>
    <row r="59" spans="2:11">
      <c r="B59" s="26" t="s">
        <v>153</v>
      </c>
      <c r="C59" s="19">
        <f t="shared" si="4"/>
        <v>327.95911405408759</v>
      </c>
      <c r="D59" s="19">
        <f t="shared" si="2"/>
        <v>341.65262763803628</v>
      </c>
      <c r="E59" s="19">
        <f t="shared" si="5"/>
        <v>331.78647894856863</v>
      </c>
      <c r="F59" s="19">
        <f t="shared" si="5"/>
        <v>336.62659903467966</v>
      </c>
    </row>
    <row r="60" spans="2:11">
      <c r="B60" s="26" t="s">
        <v>154</v>
      </c>
      <c r="C60" s="19">
        <f t="shared" si="4"/>
        <v>145.85585932511731</v>
      </c>
      <c r="D60" s="19">
        <f t="shared" si="2"/>
        <v>138.1935350374589</v>
      </c>
      <c r="E60" s="19">
        <f t="shared" si="5"/>
        <v>123.34055081015921</v>
      </c>
      <c r="F60" s="19">
        <f t="shared" si="5"/>
        <v>108.86937027075592</v>
      </c>
    </row>
    <row r="61" spans="2:11">
      <c r="B61" s="30" t="s">
        <v>75</v>
      </c>
      <c r="C61" s="19">
        <f t="shared" si="4"/>
        <v>109050.62915580132</v>
      </c>
      <c r="D61" s="19">
        <f t="shared" si="2"/>
        <v>108200.38916326483</v>
      </c>
      <c r="E61" s="19">
        <f t="shared" si="5"/>
        <v>106742.00418670858</v>
      </c>
      <c r="F61" s="19">
        <f t="shared" si="5"/>
        <v>105281.34704549983</v>
      </c>
    </row>
    <row r="62" spans="2:11">
      <c r="B62" s="30" t="s">
        <v>155</v>
      </c>
      <c r="C62" s="19"/>
      <c r="D62" s="19"/>
      <c r="E62" s="19"/>
      <c r="F62" s="19"/>
    </row>
    <row r="63" spans="2:11">
      <c r="B63" s="26" t="s">
        <v>156</v>
      </c>
      <c r="C63" s="19">
        <f>AVERAGE(C47)</f>
        <v>4886.1759757424416</v>
      </c>
      <c r="D63" s="19">
        <f>AVERAGE(C47:D47)</f>
        <v>5545.8126796452598</v>
      </c>
      <c r="E63" s="19">
        <f t="shared" ref="E63:F63" si="6">AVERAGE(D47:E47)</f>
        <v>6130.3516576914026</v>
      </c>
      <c r="F63" s="19">
        <f t="shared" si="6"/>
        <v>6378.3251716927398</v>
      </c>
    </row>
    <row r="64" spans="2:11">
      <c r="B64" s="26" t="s">
        <v>157</v>
      </c>
      <c r="C64" s="19">
        <f t="shared" ref="C64:C65" si="7">AVERAGE(C48)</f>
        <v>285.57964048040986</v>
      </c>
      <c r="D64" s="19">
        <f>AVERAGE(C48:D48)</f>
        <v>284.86216314504725</v>
      </c>
      <c r="E64" s="19">
        <f>AVERAGE(D48:E48)</f>
        <v>263.0866794944705</v>
      </c>
      <c r="F64" s="19">
        <f>AVERAGE(E48:F48)</f>
        <v>220.94872063839978</v>
      </c>
    </row>
    <row r="65" spans="2:8">
      <c r="B65" s="26" t="s">
        <v>158</v>
      </c>
      <c r="C65" s="19">
        <f t="shared" si="7"/>
        <v>339.26939156731993</v>
      </c>
      <c r="D65" s="19">
        <f>AVERAGE(C49:D49)</f>
        <v>467.43806477060662</v>
      </c>
      <c r="E65" s="19">
        <f>AVERAGE(D49:E49)</f>
        <v>556.91680916603821</v>
      </c>
      <c r="F65" s="19">
        <f>AVERAGE(E49:F49)</f>
        <v>479.31582379707447</v>
      </c>
    </row>
    <row r="67" spans="2:8">
      <c r="B67" s="5"/>
      <c r="C67" s="5">
        <v>2014</v>
      </c>
      <c r="D67" s="5">
        <f>C67+1</f>
        <v>2015</v>
      </c>
      <c r="E67" s="5">
        <f>D67+1</f>
        <v>2016</v>
      </c>
      <c r="F67" s="5">
        <f>E67+1</f>
        <v>2017</v>
      </c>
      <c r="G67" s="5">
        <f>F67+1</f>
        <v>2018</v>
      </c>
    </row>
    <row r="68" spans="2:8">
      <c r="B68" s="26" t="s">
        <v>166</v>
      </c>
      <c r="C68" s="163">
        <f>+'Datos Macro'!E4</f>
        <v>100.95011183333332</v>
      </c>
      <c r="D68" s="163">
        <f>+'Datos Macro'!F4</f>
        <v>102.73841633333332</v>
      </c>
      <c r="E68" s="163">
        <f>+'Datos Macro'!G4</f>
        <v>104.36584416666666</v>
      </c>
      <c r="F68" s="163">
        <f>+'Datos Macro'!H4</f>
        <v>105.56187274999998</v>
      </c>
      <c r="G68" s="163">
        <f>+'Datos Macro'!I4</f>
        <v>107.28539633333334</v>
      </c>
    </row>
    <row r="69" spans="2:8">
      <c r="B69" s="26" t="s">
        <v>34</v>
      </c>
      <c r="C69" s="27"/>
      <c r="D69" s="27">
        <f>+'WACC - cálculo'!E87</f>
        <v>9.3057733636458112E-2</v>
      </c>
      <c r="E69" s="27">
        <f>+'WACC - cálculo'!F87</f>
        <v>9.2787176849813718E-2</v>
      </c>
      <c r="F69" s="27">
        <f>+'WACC - cálculo'!G87</f>
        <v>9.217722089623917E-2</v>
      </c>
      <c r="G69" s="27">
        <f>+'WACC - cálculo'!H87</f>
        <v>9.395776669752201E-2</v>
      </c>
    </row>
    <row r="70" spans="2:8">
      <c r="B70" s="26" t="s">
        <v>42</v>
      </c>
      <c r="C70" s="27"/>
      <c r="D70" s="27">
        <v>0.28000000000000003</v>
      </c>
      <c r="E70" s="27">
        <v>0.28000000000000003</v>
      </c>
      <c r="F70" s="27">
        <v>0.29499999999999998</v>
      </c>
      <c r="G70" s="27">
        <v>0.29499999999999998</v>
      </c>
    </row>
    <row r="73" spans="2:8">
      <c r="B73" s="2" t="s">
        <v>43</v>
      </c>
    </row>
    <row r="75" spans="2:8">
      <c r="B75" s="97" t="s">
        <v>44</v>
      </c>
      <c r="C75" s="18">
        <v>2015</v>
      </c>
      <c r="D75" s="18">
        <f>+C75+1</f>
        <v>2016</v>
      </c>
      <c r="E75" s="18">
        <f>+D75+1</f>
        <v>2017</v>
      </c>
      <c r="F75" s="18">
        <f>+E75+1</f>
        <v>2018</v>
      </c>
      <c r="H75" s="98" t="s">
        <v>45</v>
      </c>
    </row>
    <row r="76" spans="2:8">
      <c r="B76" s="30" t="s">
        <v>147</v>
      </c>
      <c r="C76" s="20"/>
      <c r="D76" s="20"/>
      <c r="E76" s="20"/>
      <c r="F76" s="20"/>
      <c r="H76" s="20"/>
    </row>
    <row r="77" spans="2:8">
      <c r="B77" s="26" t="s">
        <v>148</v>
      </c>
      <c r="C77" s="20">
        <f>+(D$68*$H77+C$68*D$69-(D$68-C$68))/(1-D$70)</f>
        <v>10.563727941051383</v>
      </c>
      <c r="D77" s="20">
        <f t="shared" ref="D77:F77" si="8">+(E$68*$H77+D$68*E$69-(E$68-D$68))/(1-E$70)</f>
        <v>10.979694128135341</v>
      </c>
      <c r="E77" s="20">
        <f t="shared" si="8"/>
        <v>11.949113316936156</v>
      </c>
      <c r="F77" s="20">
        <f t="shared" si="8"/>
        <v>11.623878338531407</v>
      </c>
      <c r="H77" s="67">
        <v>0</v>
      </c>
    </row>
    <row r="78" spans="2:8">
      <c r="B78" s="26" t="s">
        <v>149</v>
      </c>
      <c r="C78" s="20">
        <f t="shared" ref="C78:F78" si="9">+(D$68*$H78+C$68*D$69-(D$68-C$68))/(1-D$70)</f>
        <v>17.698340186421753</v>
      </c>
      <c r="D78" s="20">
        <f t="shared" si="9"/>
        <v>18.227322195264971</v>
      </c>
      <c r="E78" s="20">
        <f t="shared" si="9"/>
        <v>19.435770958780125</v>
      </c>
      <c r="F78" s="20">
        <f t="shared" si="9"/>
        <v>19.232771695505402</v>
      </c>
      <c r="H78" s="67">
        <v>0.05</v>
      </c>
    </row>
    <row r="79" spans="2:8">
      <c r="B79" s="26" t="s">
        <v>150</v>
      </c>
      <c r="C79" s="20">
        <f t="shared" ref="C79:F79" si="10">+(D$68*$H79+C$68*D$69-(D$68-C$68))/(1-D$70)</f>
        <v>24.832952431792126</v>
      </c>
      <c r="D79" s="20">
        <f t="shared" si="10"/>
        <v>25.474950262394604</v>
      </c>
      <c r="E79" s="20">
        <f t="shared" si="10"/>
        <v>26.922428600624098</v>
      </c>
      <c r="F79" s="20">
        <f t="shared" si="10"/>
        <v>26.841665052479396</v>
      </c>
      <c r="H79" s="67">
        <v>0.1</v>
      </c>
    </row>
    <row r="80" spans="2:8">
      <c r="B80" s="26" t="s">
        <v>151</v>
      </c>
      <c r="C80" s="20">
        <f t="shared" ref="C80:F80" si="11">+(D$68*$H80+C$68*D$69-(D$68-C$68))/(1-D$70)</f>
        <v>24.832952431792126</v>
      </c>
      <c r="D80" s="20">
        <f t="shared" si="11"/>
        <v>25.474950262394604</v>
      </c>
      <c r="E80" s="20">
        <f t="shared" si="11"/>
        <v>26.922428600624098</v>
      </c>
      <c r="F80" s="20">
        <f t="shared" si="11"/>
        <v>26.841665052479396</v>
      </c>
      <c r="H80" s="67">
        <v>0.1</v>
      </c>
    </row>
    <row r="81" spans="2:8">
      <c r="B81" s="26" t="s">
        <v>152</v>
      </c>
      <c r="C81" s="20">
        <f t="shared" ref="C81:F81" si="12">+(D$68*$H81+C$68*D$69-(D$68-C$68))/(1-D$70)</f>
        <v>46.236789167903225</v>
      </c>
      <c r="D81" s="20">
        <f t="shared" si="12"/>
        <v>47.21783446378349</v>
      </c>
      <c r="E81" s="20">
        <f t="shared" si="12"/>
        <v>49.382401526155995</v>
      </c>
      <c r="F81" s="20">
        <f t="shared" si="12"/>
        <v>49.66834512340138</v>
      </c>
      <c r="H81" s="67">
        <v>0.25</v>
      </c>
    </row>
    <row r="82" spans="2:8">
      <c r="B82" s="26" t="s">
        <v>153</v>
      </c>
      <c r="C82" s="20">
        <f t="shared" ref="C82:F82" si="13">+(D$68*$H82+C$68*D$69-(D$68-C$68))/(1-D$70)</f>
        <v>24.832952431792126</v>
      </c>
      <c r="D82" s="20">
        <f t="shared" si="13"/>
        <v>25.474950262394604</v>
      </c>
      <c r="E82" s="20">
        <f t="shared" si="13"/>
        <v>26.922428600624098</v>
      </c>
      <c r="F82" s="20">
        <f t="shared" si="13"/>
        <v>26.841665052479396</v>
      </c>
      <c r="H82" s="67">
        <v>0.1</v>
      </c>
    </row>
    <row r="83" spans="2:8">
      <c r="B83" s="26" t="s">
        <v>154</v>
      </c>
      <c r="C83" s="20">
        <f t="shared" ref="C83:F83" si="14">+(D$68*$H83+C$68*D$69-(D$68-C$68))/(1-D$70)</f>
        <v>39.10217692253287</v>
      </c>
      <c r="D83" s="20">
        <f t="shared" si="14"/>
        <v>39.970206396653857</v>
      </c>
      <c r="E83" s="20">
        <f t="shared" si="14"/>
        <v>41.89574388431204</v>
      </c>
      <c r="F83" s="20">
        <f t="shared" si="14"/>
        <v>42.059451766427387</v>
      </c>
      <c r="H83" s="67">
        <v>0.2</v>
      </c>
    </row>
    <row r="84" spans="2:8">
      <c r="B84" s="30" t="s">
        <v>75</v>
      </c>
      <c r="C84" s="20">
        <f t="shared" ref="C84:F84" si="15">+(D$68*$H84+C$68*D$69-(D$68-C$68))/(1-D$70)</f>
        <v>19.123550670949843</v>
      </c>
      <c r="D84" s="20">
        <f t="shared" si="15"/>
        <v>19.67510872577137</v>
      </c>
      <c r="E84" s="20">
        <f t="shared" si="15"/>
        <v>20.931306048602586</v>
      </c>
      <c r="F84" s="20">
        <f t="shared" si="15"/>
        <v>20.752724597648381</v>
      </c>
      <c r="H84" s="67">
        <f>1/C26</f>
        <v>5.9988002399520089E-2</v>
      </c>
    </row>
    <row r="85" spans="2:8">
      <c r="B85" s="30" t="s">
        <v>155</v>
      </c>
      <c r="C85" s="20"/>
      <c r="D85" s="20"/>
      <c r="E85" s="20"/>
      <c r="F85" s="20"/>
      <c r="H85" s="67"/>
    </row>
    <row r="86" spans="2:8">
      <c r="B86" s="26" t="s">
        <v>156</v>
      </c>
      <c r="C86" s="20">
        <f t="shared" ref="C86:F86" si="16">+(D$68*$H86+C$68*D$69-(D$68-C$68))/(1-D$70)</f>
        <v>19.123550670949843</v>
      </c>
      <c r="D86" s="20">
        <f t="shared" si="16"/>
        <v>19.67510872577137</v>
      </c>
      <c r="E86" s="20">
        <f t="shared" si="16"/>
        <v>20.931306048602586</v>
      </c>
      <c r="F86" s="20">
        <f t="shared" si="16"/>
        <v>20.752724597648381</v>
      </c>
      <c r="H86" s="67">
        <f>1/C26</f>
        <v>5.9988002399520089E-2</v>
      </c>
    </row>
    <row r="87" spans="2:8">
      <c r="B87" s="26" t="s">
        <v>157</v>
      </c>
      <c r="C87" s="20">
        <f t="shared" ref="C87:F88" si="17">+(D$68*$H87+C$68*D$69-(D$68-C$68))/(1-D$70)</f>
        <v>24.832952431792126</v>
      </c>
      <c r="D87" s="20">
        <f t="shared" si="17"/>
        <v>25.474950262394604</v>
      </c>
      <c r="E87" s="20">
        <f t="shared" si="17"/>
        <v>26.922428600624098</v>
      </c>
      <c r="F87" s="20">
        <f t="shared" si="17"/>
        <v>26.841665052479396</v>
      </c>
      <c r="H87" s="67">
        <v>0.1</v>
      </c>
    </row>
    <row r="88" spans="2:8">
      <c r="B88" s="26" t="s">
        <v>158</v>
      </c>
      <c r="C88" s="20">
        <f t="shared" si="17"/>
        <v>24.832952431792126</v>
      </c>
      <c r="D88" s="20">
        <f t="shared" si="17"/>
        <v>25.474950262394604</v>
      </c>
      <c r="E88" s="20">
        <f t="shared" si="17"/>
        <v>26.922428600624098</v>
      </c>
      <c r="F88" s="20">
        <f t="shared" si="17"/>
        <v>26.841665052479396</v>
      </c>
      <c r="H88" s="67">
        <v>0.1</v>
      </c>
    </row>
    <row r="91" spans="2:8">
      <c r="B91" s="2" t="s">
        <v>46</v>
      </c>
    </row>
    <row r="93" spans="2:8">
      <c r="B93" s="97" t="s">
        <v>44</v>
      </c>
      <c r="C93" s="18">
        <f>+C75</f>
        <v>2015</v>
      </c>
      <c r="D93" s="18">
        <f>+D75</f>
        <v>2016</v>
      </c>
      <c r="E93" s="18">
        <f>+E75</f>
        <v>2017</v>
      </c>
      <c r="F93" s="18">
        <f>+F75</f>
        <v>2018</v>
      </c>
    </row>
    <row r="94" spans="2:8">
      <c r="B94" s="30" t="s">
        <v>147</v>
      </c>
      <c r="C94" s="19"/>
      <c r="D94" s="19"/>
      <c r="E94" s="19"/>
      <c r="F94" s="19"/>
    </row>
    <row r="95" spans="2:8">
      <c r="B95" s="26" t="s">
        <v>148</v>
      </c>
      <c r="C95" s="19">
        <f>C54*C77</f>
        <v>57853.599222587189</v>
      </c>
      <c r="D95" s="19">
        <f t="shared" ref="D95:F95" si="18">D54*D77</f>
        <v>59662.859449874828</v>
      </c>
      <c r="E95" s="19">
        <f t="shared" si="18"/>
        <v>64055.441941456644</v>
      </c>
      <c r="F95" s="19">
        <f t="shared" si="18"/>
        <v>61459.282821454362</v>
      </c>
    </row>
    <row r="96" spans="2:8">
      <c r="B96" s="26" t="s">
        <v>149</v>
      </c>
      <c r="C96" s="19">
        <f t="shared" ref="C96:F96" si="19">C55*C78</f>
        <v>103941.36670372139</v>
      </c>
      <c r="D96" s="19">
        <f t="shared" si="19"/>
        <v>103256.10174880864</v>
      </c>
      <c r="E96" s="19">
        <f t="shared" si="19"/>
        <v>102340.01789544891</v>
      </c>
      <c r="F96" s="19">
        <f t="shared" si="19"/>
        <v>93772.036202409843</v>
      </c>
    </row>
    <row r="97" spans="2:7">
      <c r="B97" s="26" t="s">
        <v>150</v>
      </c>
      <c r="C97" s="19">
        <f t="shared" ref="C97:F97" si="20">C56*C79</f>
        <v>129346.77350546033</v>
      </c>
      <c r="D97" s="19">
        <f t="shared" si="20"/>
        <v>125493.19872337033</v>
      </c>
      <c r="E97" s="19">
        <f t="shared" si="20"/>
        <v>117869.5968945418</v>
      </c>
      <c r="F97" s="19">
        <f t="shared" si="20"/>
        <v>103186.25180426749</v>
      </c>
    </row>
    <row r="98" spans="2:7">
      <c r="B98" s="26" t="s">
        <v>151</v>
      </c>
      <c r="C98" s="19">
        <f t="shared" ref="C98:F98" si="21">C57*C80</f>
        <v>17683.53907671108</v>
      </c>
      <c r="D98" s="19">
        <f t="shared" si="21"/>
        <v>16906.951861888396</v>
      </c>
      <c r="E98" s="19">
        <f t="shared" si="21"/>
        <v>15394.408723774415</v>
      </c>
      <c r="F98" s="19">
        <f t="shared" si="21"/>
        <v>13008.428670810959</v>
      </c>
    </row>
    <row r="99" spans="2:7">
      <c r="B99" s="26" t="s">
        <v>152</v>
      </c>
      <c r="C99" s="19">
        <f t="shared" ref="C99:F99" si="22">C58*C81</f>
        <v>8506.2782087969208</v>
      </c>
      <c r="D99" s="19">
        <f t="shared" si="22"/>
        <v>7903.5227535267932</v>
      </c>
      <c r="E99" s="19">
        <f t="shared" si="22"/>
        <v>7725.8876875668639</v>
      </c>
      <c r="F99" s="19">
        <f t="shared" si="22"/>
        <v>6835.8570806124635</v>
      </c>
    </row>
    <row r="100" spans="2:7">
      <c r="B100" s="26" t="s">
        <v>153</v>
      </c>
      <c r="C100" s="19">
        <f t="shared" ref="C100:F100" si="23">C59*C82</f>
        <v>8144.1930788778454</v>
      </c>
      <c r="D100" s="19">
        <f t="shared" si="23"/>
        <v>8703.5836960953984</v>
      </c>
      <c r="E100" s="19">
        <f t="shared" si="23"/>
        <v>8932.4977901453094</v>
      </c>
      <c r="F100" s="19">
        <f t="shared" si="23"/>
        <v>9035.6184190441545</v>
      </c>
    </row>
    <row r="101" spans="2:7">
      <c r="B101" s="26" t="s">
        <v>154</v>
      </c>
      <c r="C101" s="19">
        <f t="shared" ref="C101:F101" si="24">C60*C83</f>
        <v>5703.2816165188024</v>
      </c>
      <c r="D101" s="19">
        <f t="shared" si="24"/>
        <v>5523.6241181304486</v>
      </c>
      <c r="E101" s="19">
        <f t="shared" si="24"/>
        <v>5167.4441272924059</v>
      </c>
      <c r="F101" s="19">
        <f t="shared" si="24"/>
        <v>4578.9860277441821</v>
      </c>
    </row>
    <row r="102" spans="2:7">
      <c r="B102" s="30" t="s">
        <v>75</v>
      </c>
      <c r="C102" s="19">
        <f t="shared" ref="C102:F102" si="25">C61*C84</f>
        <v>2085435.2323599269</v>
      </c>
      <c r="D102" s="19">
        <f>D61*D84</f>
        <v>2128854.42095801</v>
      </c>
      <c r="E102" s="19">
        <f t="shared" si="25"/>
        <v>2234249.557873216</v>
      </c>
      <c r="F102" s="19">
        <f t="shared" si="25"/>
        <v>2184874.8005047003</v>
      </c>
    </row>
    <row r="103" spans="2:7">
      <c r="B103" s="30" t="s">
        <v>155</v>
      </c>
      <c r="C103" s="19"/>
      <c r="D103" s="19"/>
      <c r="E103" s="19"/>
      <c r="F103" s="19"/>
    </row>
    <row r="104" spans="2:7">
      <c r="B104" s="26" t="s">
        <v>156</v>
      </c>
      <c r="C104" s="19">
        <f t="shared" ref="C104:F104" si="26">C63*C86</f>
        <v>93441.033859288378</v>
      </c>
      <c r="D104" s="19">
        <f t="shared" si="26"/>
        <v>109114.46744478196</v>
      </c>
      <c r="E104" s="19">
        <f t="shared" si="26"/>
        <v>128316.26673269694</v>
      </c>
      <c r="F104" s="19">
        <f t="shared" si="26"/>
        <v>132367.62568238776</v>
      </c>
    </row>
    <row r="105" spans="2:7">
      <c r="B105" s="26" t="s">
        <v>157</v>
      </c>
      <c r="C105" s="19">
        <f t="shared" ref="C105:F105" si="27">C64*C87</f>
        <v>7091.7856275383156</v>
      </c>
      <c r="D105" s="19">
        <f t="shared" si="27"/>
        <v>7256.8494377582156</v>
      </c>
      <c r="E105" s="19">
        <f t="shared" si="27"/>
        <v>7082.9323444651582</v>
      </c>
      <c r="F105" s="19">
        <f t="shared" si="27"/>
        <v>5930.6315531497685</v>
      </c>
    </row>
    <row r="106" spans="2:7">
      <c r="B106" s="26" t="s">
        <v>158</v>
      </c>
      <c r="C106" s="19">
        <f t="shared" ref="C106:E106" si="28">C65*C88</f>
        <v>8425.0606623543117</v>
      </c>
      <c r="D106" s="19">
        <f t="shared" si="28"/>
        <v>11907.961450781191</v>
      </c>
      <c r="E106" s="19">
        <f t="shared" si="28"/>
        <v>14993.55303126006</v>
      </c>
      <c r="F106" s="19">
        <f>F65*F88</f>
        <v>12865.634796714307</v>
      </c>
    </row>
    <row r="108" spans="2:7">
      <c r="B108" s="2" t="s">
        <v>180</v>
      </c>
      <c r="D108" s="15"/>
      <c r="E108" s="15"/>
      <c r="F108" s="15"/>
      <c r="G108" s="15"/>
    </row>
    <row r="110" spans="2:7">
      <c r="B110" s="97" t="s">
        <v>44</v>
      </c>
      <c r="C110" s="18">
        <f>+C93</f>
        <v>2015</v>
      </c>
      <c r="D110" s="18">
        <f>+D93</f>
        <v>2016</v>
      </c>
      <c r="E110" s="18">
        <f>+E93</f>
        <v>2017</v>
      </c>
      <c r="F110" s="18">
        <f>+F93</f>
        <v>2018</v>
      </c>
    </row>
    <row r="111" spans="2:7">
      <c r="B111" s="30" t="s">
        <v>147</v>
      </c>
      <c r="C111" s="19"/>
      <c r="D111" s="19"/>
      <c r="E111" s="19"/>
      <c r="F111" s="19"/>
    </row>
    <row r="112" spans="2:7">
      <c r="B112" s="26" t="s">
        <v>148</v>
      </c>
      <c r="C112" s="19">
        <f>(C95/C77)*$C77</f>
        <v>57853.599222587189</v>
      </c>
      <c r="D112" s="19">
        <f t="shared" ref="D112:F112" si="29">(D95/D77)*$C77</f>
        <v>57402.529438285943</v>
      </c>
      <c r="E112" s="19">
        <f t="shared" si="29"/>
        <v>56628.826245566313</v>
      </c>
      <c r="F112" s="19">
        <f t="shared" si="29"/>
        <v>55853.917622816705</v>
      </c>
    </row>
    <row r="113" spans="2:7">
      <c r="B113" s="26" t="s">
        <v>149</v>
      </c>
      <c r="C113" s="19">
        <f>(C96/C78)*$C78</f>
        <v>103941.36670372139</v>
      </c>
      <c r="D113" s="19">
        <f t="shared" ref="D113:F113" si="30">(D96/D78)*$C78</f>
        <v>100259.4673807283</v>
      </c>
      <c r="E113" s="19">
        <f t="shared" si="30"/>
        <v>93191.489817382913</v>
      </c>
      <c r="F113" s="19">
        <f t="shared" si="30"/>
        <v>86290.703334847349</v>
      </c>
    </row>
    <row r="114" spans="2:7">
      <c r="B114" s="26" t="s">
        <v>150</v>
      </c>
      <c r="C114" s="19">
        <f t="shared" ref="C114:F118" si="31">(C97/C79)*$C79</f>
        <v>129346.77350546033</v>
      </c>
      <c r="D114" s="19">
        <f t="shared" si="31"/>
        <v>122330.62684370315</v>
      </c>
      <c r="E114" s="19">
        <f t="shared" si="31"/>
        <v>108721.62152447185</v>
      </c>
      <c r="F114" s="19">
        <f t="shared" si="31"/>
        <v>95464.244772460777</v>
      </c>
    </row>
    <row r="115" spans="2:7">
      <c r="B115" s="26" t="s">
        <v>151</v>
      </c>
      <c r="C115" s="19">
        <f t="shared" si="31"/>
        <v>17683.53907671108</v>
      </c>
      <c r="D115" s="19">
        <f t="shared" si="31"/>
        <v>16480.877372806641</v>
      </c>
      <c r="E115" s="19">
        <f t="shared" si="31"/>
        <v>14199.633518359255</v>
      </c>
      <c r="F115" s="19">
        <f t="shared" si="31"/>
        <v>12034.93485828928</v>
      </c>
    </row>
    <row r="116" spans="2:7">
      <c r="B116" s="26" t="s">
        <v>152</v>
      </c>
      <c r="C116" s="19">
        <f t="shared" si="31"/>
        <v>8506.2782087969208</v>
      </c>
      <c r="D116" s="19">
        <f t="shared" si="31"/>
        <v>7739.3112028217893</v>
      </c>
      <c r="E116" s="19">
        <f t="shared" si="31"/>
        <v>7233.7559354160285</v>
      </c>
      <c r="F116" s="19">
        <f t="shared" si="31"/>
        <v>6363.5718450639615</v>
      </c>
    </row>
    <row r="117" spans="2:7">
      <c r="B117" s="26" t="s">
        <v>153</v>
      </c>
      <c r="C117" s="19">
        <f t="shared" si="31"/>
        <v>8144.1930788778454</v>
      </c>
      <c r="D117" s="19">
        <f t="shared" si="31"/>
        <v>8484.2434503321419</v>
      </c>
      <c r="E117" s="19">
        <f t="shared" si="31"/>
        <v>8239.2378492416046</v>
      </c>
      <c r="F117" s="19">
        <f t="shared" si="31"/>
        <v>8359.4323211041592</v>
      </c>
    </row>
    <row r="118" spans="2:7">
      <c r="B118" s="26" t="s">
        <v>154</v>
      </c>
      <c r="C118" s="19">
        <f t="shared" si="31"/>
        <v>5703.2816165188024</v>
      </c>
      <c r="D118" s="19">
        <f t="shared" si="31"/>
        <v>5403.6680565849629</v>
      </c>
      <c r="E118" s="19">
        <f t="shared" si="31"/>
        <v>4822.8840395014995</v>
      </c>
      <c r="F118" s="19">
        <f t="shared" si="31"/>
        <v>4257.029377771838</v>
      </c>
    </row>
    <row r="119" spans="2:7">
      <c r="B119" s="30" t="s">
        <v>75</v>
      </c>
      <c r="C119" s="19">
        <f t="shared" ref="C119:F119" si="32">(C102/C84)*$C84</f>
        <v>2085435.2323599269</v>
      </c>
      <c r="D119" s="19">
        <f t="shared" si="32"/>
        <v>2069175.6247801876</v>
      </c>
      <c r="E119" s="19">
        <f>(E102/E84)*$C84</f>
        <v>2041286.1257832618</v>
      </c>
      <c r="F119" s="19">
        <f t="shared" si="32"/>
        <v>2013353.1749304719</v>
      </c>
    </row>
    <row r="120" spans="2:7">
      <c r="B120" s="30" t="s">
        <v>155</v>
      </c>
      <c r="C120" s="19"/>
      <c r="D120" s="19"/>
      <c r="E120" s="19"/>
      <c r="F120" s="19"/>
    </row>
    <row r="121" spans="2:7">
      <c r="B121" s="26" t="s">
        <v>156</v>
      </c>
      <c r="C121" s="19">
        <f t="shared" ref="C121:F121" si="33">(C104/C86)*$C86</f>
        <v>93441.033859288378</v>
      </c>
      <c r="D121" s="19">
        <f t="shared" si="33"/>
        <v>106055.62979079226</v>
      </c>
      <c r="E121" s="19">
        <f t="shared" si="33"/>
        <v>117234.09055660291</v>
      </c>
      <c r="F121" s="19">
        <f t="shared" si="33"/>
        <v>121976.22461666097</v>
      </c>
    </row>
    <row r="122" spans="2:7">
      <c r="B122" s="26" t="s">
        <v>157</v>
      </c>
      <c r="C122" s="19">
        <f t="shared" ref="C122:F122" si="34">(C105/C87)*$C87</f>
        <v>7091.7856275383156</v>
      </c>
      <c r="D122" s="19">
        <f t="shared" si="34"/>
        <v>7073.968546998366</v>
      </c>
      <c r="E122" s="19">
        <f t="shared" si="34"/>
        <v>6533.2189973243267</v>
      </c>
      <c r="F122" s="19">
        <f t="shared" si="34"/>
        <v>5486.8090694787088</v>
      </c>
    </row>
    <row r="123" spans="2:7">
      <c r="B123" s="26" t="s">
        <v>158</v>
      </c>
      <c r="C123" s="19">
        <f t="shared" ref="C123:F123" si="35">(C106/C88)*$C88</f>
        <v>8425.0606623543117</v>
      </c>
      <c r="D123" s="19">
        <f t="shared" si="35"/>
        <v>11607.86722725744</v>
      </c>
      <c r="E123" s="19">
        <f t="shared" si="35"/>
        <v>13829.888630485681</v>
      </c>
      <c r="F123" s="19">
        <f t="shared" si="35"/>
        <v>11902.827052158007</v>
      </c>
    </row>
    <row r="124" spans="2:7">
      <c r="C124" s="4"/>
      <c r="D124" s="4"/>
      <c r="E124" s="4"/>
      <c r="F124" s="4"/>
    </row>
    <row r="125" spans="2:7">
      <c r="B125" s="2" t="s">
        <v>112</v>
      </c>
      <c r="D125" s="6"/>
      <c r="E125" s="6"/>
      <c r="F125" s="6"/>
      <c r="G125" s="6"/>
    </row>
    <row r="126" spans="2:7">
      <c r="B126" s="2"/>
    </row>
    <row r="127" spans="2:7">
      <c r="B127" s="97" t="s">
        <v>44</v>
      </c>
      <c r="C127" s="18">
        <f>+C110</f>
        <v>2015</v>
      </c>
      <c r="D127" s="18">
        <f>+D110</f>
        <v>2016</v>
      </c>
      <c r="E127" s="18">
        <f>+E110</f>
        <v>2017</v>
      </c>
      <c r="F127" s="18">
        <f>+F110</f>
        <v>2018</v>
      </c>
    </row>
    <row r="128" spans="2:7">
      <c r="B128" s="30" t="s">
        <v>147</v>
      </c>
      <c r="C128" s="20"/>
      <c r="D128" s="20"/>
      <c r="E128" s="20"/>
      <c r="F128" s="20"/>
    </row>
    <row r="129" spans="2:12">
      <c r="B129" s="26" t="s">
        <v>148</v>
      </c>
      <c r="C129" s="20">
        <f t="shared" ref="C129:F136" si="36">+C95/C112</f>
        <v>1</v>
      </c>
      <c r="D129" s="20">
        <f t="shared" si="36"/>
        <v>1.0393768364165727</v>
      </c>
      <c r="E129" s="20">
        <f t="shared" si="36"/>
        <v>1.1311454993554946</v>
      </c>
      <c r="F129" s="20">
        <f t="shared" si="36"/>
        <v>1.1003576013502019</v>
      </c>
    </row>
    <row r="130" spans="2:12">
      <c r="B130" s="26" t="s">
        <v>149</v>
      </c>
      <c r="C130" s="20">
        <f t="shared" si="36"/>
        <v>1</v>
      </c>
      <c r="D130" s="20">
        <f t="shared" si="36"/>
        <v>1.0298887920150306</v>
      </c>
      <c r="E130" s="20">
        <f t="shared" si="36"/>
        <v>1.0981691364307338</v>
      </c>
      <c r="F130" s="20">
        <f t="shared" si="36"/>
        <v>1.0866991759069515</v>
      </c>
    </row>
    <row r="131" spans="2:12">
      <c r="B131" s="26" t="s">
        <v>150</v>
      </c>
      <c r="C131" s="20">
        <f t="shared" si="36"/>
        <v>1</v>
      </c>
      <c r="D131" s="20">
        <f t="shared" si="36"/>
        <v>1.0258526581712677</v>
      </c>
      <c r="E131" s="20">
        <f t="shared" si="36"/>
        <v>1.0841412705384537</v>
      </c>
      <c r="F131" s="20">
        <f t="shared" si="36"/>
        <v>1.0808889972388316</v>
      </c>
    </row>
    <row r="132" spans="2:12">
      <c r="B132" s="26" t="s">
        <v>151</v>
      </c>
      <c r="C132" s="20">
        <f t="shared" si="36"/>
        <v>1</v>
      </c>
      <c r="D132" s="20">
        <f t="shared" si="36"/>
        <v>1.0258526581712679</v>
      </c>
      <c r="E132" s="20">
        <f t="shared" si="36"/>
        <v>1.0841412705384537</v>
      </c>
      <c r="F132" s="20">
        <f t="shared" si="36"/>
        <v>1.0808889972388316</v>
      </c>
    </row>
    <row r="133" spans="2:12">
      <c r="B133" s="26" t="s">
        <v>152</v>
      </c>
      <c r="C133" s="20">
        <f t="shared" si="36"/>
        <v>1</v>
      </c>
      <c r="D133" s="20">
        <f t="shared" si="36"/>
        <v>1.0212178508398955</v>
      </c>
      <c r="E133" s="20">
        <f t="shared" si="36"/>
        <v>1.0680326730048202</v>
      </c>
      <c r="F133" s="20">
        <f t="shared" si="36"/>
        <v>1.0742170037594279</v>
      </c>
    </row>
    <row r="134" spans="2:12">
      <c r="B134" s="26" t="s">
        <v>153</v>
      </c>
      <c r="C134" s="20">
        <f t="shared" si="36"/>
        <v>1</v>
      </c>
      <c r="D134" s="20">
        <f t="shared" si="36"/>
        <v>1.0258526581712679</v>
      </c>
      <c r="E134" s="20">
        <f t="shared" si="36"/>
        <v>1.0841412705384537</v>
      </c>
      <c r="F134" s="20">
        <f t="shared" si="36"/>
        <v>1.0808889972388318</v>
      </c>
    </row>
    <row r="135" spans="2:12">
      <c r="B135" s="26" t="s">
        <v>154</v>
      </c>
      <c r="C135" s="20">
        <f t="shared" si="36"/>
        <v>1</v>
      </c>
      <c r="D135" s="20">
        <f t="shared" si="36"/>
        <v>1.0221990063581545</v>
      </c>
      <c r="E135" s="20">
        <f t="shared" si="36"/>
        <v>1.0714427477353408</v>
      </c>
      <c r="F135" s="20">
        <f t="shared" si="36"/>
        <v>1.075629416995205</v>
      </c>
    </row>
    <row r="136" spans="2:12">
      <c r="B136" s="30" t="s">
        <v>75</v>
      </c>
      <c r="C136" s="20">
        <f t="shared" si="36"/>
        <v>1</v>
      </c>
      <c r="D136" s="20">
        <f t="shared" si="36"/>
        <v>1.0288418225418454</v>
      </c>
      <c r="E136" s="20">
        <f t="shared" si="36"/>
        <v>1.0945303206898112</v>
      </c>
      <c r="F136" s="20">
        <f t="shared" si="36"/>
        <v>1.0851920208088437</v>
      </c>
    </row>
    <row r="137" spans="2:12">
      <c r="B137" s="30" t="s">
        <v>155</v>
      </c>
      <c r="C137" s="20"/>
      <c r="D137" s="20"/>
      <c r="E137" s="20"/>
      <c r="F137" s="20"/>
    </row>
    <row r="138" spans="2:12">
      <c r="B138" s="26" t="s">
        <v>156</v>
      </c>
      <c r="C138" s="20">
        <f t="shared" ref="C138:F140" si="37">+C104/C121</f>
        <v>1</v>
      </c>
      <c r="D138" s="20">
        <f t="shared" si="37"/>
        <v>1.0288418225418456</v>
      </c>
      <c r="E138" s="20">
        <f t="shared" si="37"/>
        <v>1.0945303206898112</v>
      </c>
      <c r="F138" s="20">
        <f t="shared" si="37"/>
        <v>1.0851920208088439</v>
      </c>
    </row>
    <row r="139" spans="2:12">
      <c r="B139" s="26" t="s">
        <v>157</v>
      </c>
      <c r="C139" s="20">
        <f t="shared" si="37"/>
        <v>1</v>
      </c>
      <c r="D139" s="20">
        <f t="shared" si="37"/>
        <v>1.0258526581712679</v>
      </c>
      <c r="E139" s="20">
        <f t="shared" si="37"/>
        <v>1.0841412705384537</v>
      </c>
      <c r="F139" s="20">
        <f t="shared" si="37"/>
        <v>1.0808889972388316</v>
      </c>
    </row>
    <row r="140" spans="2:12">
      <c r="B140" s="26" t="s">
        <v>158</v>
      </c>
      <c r="C140" s="20">
        <f t="shared" si="37"/>
        <v>1</v>
      </c>
      <c r="D140" s="20">
        <f t="shared" si="37"/>
        <v>1.0258526581712679</v>
      </c>
      <c r="E140" s="20">
        <f t="shared" si="37"/>
        <v>1.0841412705384537</v>
      </c>
      <c r="F140" s="20">
        <f t="shared" si="37"/>
        <v>1.0808889972388316</v>
      </c>
    </row>
    <row r="141" spans="2:12">
      <c r="C141" s="28"/>
      <c r="D141" s="28"/>
      <c r="E141" s="28"/>
      <c r="F141" s="28"/>
      <c r="G141" s="28"/>
    </row>
    <row r="142" spans="2:12">
      <c r="C142" s="28"/>
      <c r="D142" s="28"/>
      <c r="E142" s="28"/>
      <c r="F142" s="28"/>
      <c r="G142" s="28"/>
      <c r="H142" s="28"/>
      <c r="I142" s="28"/>
      <c r="J142" s="28"/>
      <c r="K142" s="28"/>
      <c r="L142" s="28"/>
    </row>
    <row r="143" spans="2:12">
      <c r="B143" s="2" t="s">
        <v>1</v>
      </c>
    </row>
    <row r="145" spans="2:7">
      <c r="B145" s="189"/>
      <c r="C145" s="190"/>
      <c r="D145" s="49">
        <f>+C127</f>
        <v>2015</v>
      </c>
      <c r="E145" s="49">
        <f>+D127</f>
        <v>2016</v>
      </c>
      <c r="F145" s="49">
        <f>+E127</f>
        <v>2017</v>
      </c>
      <c r="G145" s="49">
        <f>+F127</f>
        <v>2018</v>
      </c>
    </row>
    <row r="146" spans="2:7">
      <c r="B146" s="195" t="s">
        <v>25</v>
      </c>
      <c r="C146" s="73" t="s">
        <v>26</v>
      </c>
      <c r="D146" s="168"/>
      <c r="E146" s="19">
        <f>+SUMPRODUCT(C129:C140,D112:D123)</f>
        <v>2512013.8140904983</v>
      </c>
      <c r="F146" s="19">
        <f t="shared" ref="F146:G146" si="38">+SUMPRODUCT(D129:D140,E112:E123)</f>
        <v>2543369.5108515592</v>
      </c>
      <c r="G146" s="19">
        <f t="shared" si="38"/>
        <v>2650941.0580330263</v>
      </c>
    </row>
    <row r="147" spans="2:7">
      <c r="B147" s="196"/>
      <c r="C147" s="73" t="s">
        <v>27</v>
      </c>
      <c r="D147" s="168"/>
      <c r="E147" s="19">
        <f>+SUMPRODUCT(C129:C140,C112:C123)</f>
        <v>2525572.1439217813</v>
      </c>
      <c r="F147" s="19">
        <f t="shared" ref="F147:G147" si="39">+SUMPRODUCT(D129:D140,D112:D123)</f>
        <v>2584583.5416430263</v>
      </c>
      <c r="G147" s="19">
        <f t="shared" si="39"/>
        <v>2706127.6050418643</v>
      </c>
    </row>
    <row r="148" spans="2:7">
      <c r="B148" s="195" t="s">
        <v>28</v>
      </c>
      <c r="C148" s="73" t="s">
        <v>26</v>
      </c>
      <c r="D148" s="168"/>
      <c r="E148" s="19">
        <f>+SUMPRODUCT(D129:D140,D112:D123)</f>
        <v>2584583.5416430263</v>
      </c>
      <c r="F148" s="19">
        <f t="shared" ref="F148:G148" si="40">+SUMPRODUCT(E129:E140,E112:E123)</f>
        <v>2706127.6050418643</v>
      </c>
      <c r="G148" s="19">
        <f t="shared" si="40"/>
        <v>2627915.153563296</v>
      </c>
    </row>
    <row r="149" spans="2:7">
      <c r="B149" s="196"/>
      <c r="C149" s="73" t="s">
        <v>27</v>
      </c>
      <c r="D149" s="168"/>
      <c r="E149" s="19">
        <f>+SUMPRODUCT(D129:D140,C112:C123)</f>
        <v>2598519.5974384616</v>
      </c>
      <c r="F149" s="19">
        <f t="shared" ref="F149:G149" si="41">+SUMPRODUCT(E129:E140,D112:D123)</f>
        <v>2749887.7345526097</v>
      </c>
      <c r="G149" s="19">
        <f t="shared" si="41"/>
        <v>2682730.4423260079</v>
      </c>
    </row>
    <row r="150" spans="2:7">
      <c r="B150" s="191" t="s">
        <v>29</v>
      </c>
      <c r="C150" s="192"/>
      <c r="D150" s="169"/>
      <c r="E150" s="20">
        <f>((E146/E147)*(E148/E149))^0.5</f>
        <v>0.99463425286875429</v>
      </c>
      <c r="F150" s="20">
        <f>((F146/F147)*(F148/F149))^0.5</f>
        <v>0.98407023724256693</v>
      </c>
      <c r="G150" s="20">
        <f>((G146/G147)*(G148/G149))^0.5</f>
        <v>0.97958708550021867</v>
      </c>
    </row>
    <row r="151" spans="2:7">
      <c r="B151" s="193" t="s">
        <v>113</v>
      </c>
      <c r="C151" s="194"/>
      <c r="D151" s="171"/>
      <c r="E151" s="165">
        <f>LN(E150)</f>
        <v>-5.380194456019974E-3</v>
      </c>
      <c r="F151" s="165">
        <f>LN(F150)</f>
        <v>-1.6058005165713714E-2</v>
      </c>
      <c r="G151" s="165">
        <f>LN(G150)</f>
        <v>-2.0624137433024804E-2</v>
      </c>
    </row>
    <row r="152" spans="2:7">
      <c r="F152" s="23" t="s">
        <v>31</v>
      </c>
      <c r="G152" s="166">
        <f>+AVERAGE(E151:G151)</f>
        <v>-1.4020779018252832E-2</v>
      </c>
    </row>
    <row r="153" spans="2:7">
      <c r="B153" s="2" t="s">
        <v>47</v>
      </c>
      <c r="C153" s="4"/>
    </row>
    <row r="154" spans="2:7">
      <c r="C154" s="4"/>
    </row>
    <row r="155" spans="2:7">
      <c r="B155" s="189"/>
      <c r="C155" s="190"/>
      <c r="D155" s="49">
        <f>+D145</f>
        <v>2015</v>
      </c>
      <c r="E155" s="49">
        <f>+E145</f>
        <v>2016</v>
      </c>
      <c r="F155" s="49">
        <f>+F145</f>
        <v>2017</v>
      </c>
      <c r="G155" s="49">
        <f>+G145</f>
        <v>2018</v>
      </c>
    </row>
    <row r="156" spans="2:7">
      <c r="B156" s="195" t="s">
        <v>25</v>
      </c>
      <c r="C156" s="73" t="s">
        <v>26</v>
      </c>
      <c r="D156" s="168"/>
      <c r="E156" s="19">
        <f>+SUMPRODUCT(D129:D140,C112:C123)</f>
        <v>2598519.5974384616</v>
      </c>
      <c r="F156" s="19">
        <f t="shared" ref="F156:G156" si="42">+SUMPRODUCT(E129:E140,D112:D123)</f>
        <v>2749887.7345526097</v>
      </c>
      <c r="G156" s="19">
        <f t="shared" si="42"/>
        <v>2682730.4423260079</v>
      </c>
    </row>
    <row r="157" spans="2:7">
      <c r="B157" s="196"/>
      <c r="C157" s="73" t="s">
        <v>27</v>
      </c>
      <c r="D157" s="168"/>
      <c r="E157" s="19">
        <f>+SUMPRODUCT(C129:C140,C112:C123)</f>
        <v>2525572.1439217813</v>
      </c>
      <c r="F157" s="19">
        <f t="shared" ref="F157:G157" si="43">+SUMPRODUCT(D129:D140,D112:D123)</f>
        <v>2584583.5416430263</v>
      </c>
      <c r="G157" s="19">
        <f t="shared" si="43"/>
        <v>2706127.6050418643</v>
      </c>
    </row>
    <row r="158" spans="2:7">
      <c r="B158" s="195" t="s">
        <v>28</v>
      </c>
      <c r="C158" s="73" t="s">
        <v>26</v>
      </c>
      <c r="D158" s="168"/>
      <c r="E158" s="19">
        <f>+SUMPRODUCT(D129:D140,D112:D123)</f>
        <v>2584583.5416430263</v>
      </c>
      <c r="F158" s="19">
        <f t="shared" ref="F158:G158" si="44">+SUMPRODUCT(E129:E140,E112:E123)</f>
        <v>2706127.6050418643</v>
      </c>
      <c r="G158" s="19">
        <f t="shared" si="44"/>
        <v>2627915.153563296</v>
      </c>
    </row>
    <row r="159" spans="2:7">
      <c r="B159" s="196"/>
      <c r="C159" s="73" t="s">
        <v>27</v>
      </c>
      <c r="D159" s="168"/>
      <c r="E159" s="19">
        <f>+SUMPRODUCT(C129:C140,D112:D123)</f>
        <v>2512013.8140904983</v>
      </c>
      <c r="F159" s="19">
        <f t="shared" ref="F159:G159" si="45">+SUMPRODUCT(D129:D140,E112:E123)</f>
        <v>2543369.5108515592</v>
      </c>
      <c r="G159" s="19">
        <f t="shared" si="45"/>
        <v>2650941.0580330263</v>
      </c>
    </row>
    <row r="160" spans="2:7">
      <c r="B160" s="191" t="s">
        <v>29</v>
      </c>
      <c r="C160" s="192"/>
      <c r="D160" s="169"/>
      <c r="E160" s="20">
        <f>((E156/E157)*(E158/E159))^0.5</f>
        <v>1.028886299854523</v>
      </c>
      <c r="F160" s="20">
        <f>((F156/F157)*(F158/F159))^0.5</f>
        <v>1.0639754325062951</v>
      </c>
      <c r="G160" s="20">
        <f>((G156/G157)*(G158/G159))^0.5</f>
        <v>0.99133403483922589</v>
      </c>
    </row>
    <row r="161" spans="2:7">
      <c r="B161" s="193" t="s">
        <v>39</v>
      </c>
      <c r="C161" s="194"/>
      <c r="D161" s="171"/>
      <c r="E161" s="21">
        <f>LN(E160)</f>
        <v>2.8476954978606164E-2</v>
      </c>
      <c r="F161" s="21">
        <f>LN(F160)</f>
        <v>6.2012300903157631E-2</v>
      </c>
      <c r="G161" s="21">
        <f>LN(G160)</f>
        <v>-8.7037329916349153E-3</v>
      </c>
    </row>
    <row r="162" spans="2:7">
      <c r="F162" s="23" t="s">
        <v>31</v>
      </c>
      <c r="G162" s="24">
        <f>+AVERAGE(E161:G161)</f>
        <v>2.7261840963376291E-2</v>
      </c>
    </row>
  </sheetData>
  <mergeCells count="10">
    <mergeCell ref="B160:C160"/>
    <mergeCell ref="B161:C161"/>
    <mergeCell ref="B145:C145"/>
    <mergeCell ref="B146:B147"/>
    <mergeCell ref="B148:B149"/>
    <mergeCell ref="B150:C150"/>
    <mergeCell ref="B151:C151"/>
    <mergeCell ref="B155:C155"/>
    <mergeCell ref="B158:B159"/>
    <mergeCell ref="B156:B157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N203"/>
  <sheetViews>
    <sheetView showGridLines="0" topLeftCell="A19" zoomScale="85" zoomScaleNormal="85" workbookViewId="0">
      <selection activeCell="F103" sqref="F103"/>
    </sheetView>
  </sheetViews>
  <sheetFormatPr baseColWidth="10" defaultColWidth="11.42578125" defaultRowHeight="12"/>
  <cols>
    <col min="1" max="1" width="11.42578125" style="119"/>
    <col min="2" max="2" width="40" style="119" bestFit="1" customWidth="1"/>
    <col min="3" max="3" width="30.7109375" style="119" customWidth="1"/>
    <col min="4" max="7" width="11.42578125" style="119"/>
    <col min="8" max="8" width="13" style="119" bestFit="1" customWidth="1"/>
    <col min="9" max="9" width="14.28515625" style="119" customWidth="1"/>
    <col min="10" max="16384" width="11.42578125" style="119"/>
  </cols>
  <sheetData>
    <row r="2" spans="3:3">
      <c r="C2" s="118" t="s">
        <v>122</v>
      </c>
    </row>
    <row r="19" spans="2:8">
      <c r="C19" s="118"/>
    </row>
    <row r="21" spans="2:8">
      <c r="B21" s="120" t="s">
        <v>164</v>
      </c>
    </row>
    <row r="22" spans="2:8">
      <c r="B22" s="120"/>
      <c r="G22" s="121"/>
    </row>
    <row r="23" spans="2:8">
      <c r="B23" s="122"/>
      <c r="C23" s="122" t="s">
        <v>123</v>
      </c>
      <c r="D23" s="123">
        <v>2014</v>
      </c>
      <c r="E23" s="123">
        <f>+D23+1</f>
        <v>2015</v>
      </c>
      <c r="F23" s="124">
        <f>+E23+1</f>
        <v>2016</v>
      </c>
      <c r="G23" s="124">
        <f>+F23+1</f>
        <v>2017</v>
      </c>
      <c r="H23" s="124">
        <f>+G23+1</f>
        <v>2018</v>
      </c>
    </row>
    <row r="24" spans="2:8">
      <c r="B24" s="197" t="s">
        <v>161</v>
      </c>
      <c r="C24" s="125" t="s">
        <v>142</v>
      </c>
      <c r="D24" s="126">
        <v>0.86499999999999999</v>
      </c>
      <c r="E24" s="126">
        <v>0.73499999999999999</v>
      </c>
      <c r="F24" s="126">
        <v>0.80300000000000005</v>
      </c>
      <c r="G24" s="126">
        <v>0.94399999999999995</v>
      </c>
      <c r="H24" s="126">
        <v>0.86199999999999999</v>
      </c>
    </row>
    <row r="25" spans="2:8">
      <c r="B25" s="198"/>
      <c r="C25" s="125" t="s">
        <v>124</v>
      </c>
      <c r="D25" s="126">
        <v>0.77</v>
      </c>
      <c r="E25" s="126">
        <v>0.67900000000000005</v>
      </c>
      <c r="F25" s="126">
        <v>0.69899999999999995</v>
      </c>
      <c r="G25" s="126">
        <v>0.65200000000000002</v>
      </c>
      <c r="H25" s="126">
        <v>0.78300000000000003</v>
      </c>
    </row>
    <row r="26" spans="2:8">
      <c r="B26" s="198"/>
      <c r="C26" s="125" t="s">
        <v>143</v>
      </c>
      <c r="D26" s="126">
        <v>0.84199999999999997</v>
      </c>
      <c r="E26" s="126">
        <v>1.202</v>
      </c>
      <c r="F26" s="126">
        <v>0.95799999999999996</v>
      </c>
      <c r="G26" s="126">
        <v>0.873</v>
      </c>
      <c r="H26" s="126">
        <v>0.79400000000000004</v>
      </c>
    </row>
    <row r="27" spans="2:8">
      <c r="B27" s="198"/>
      <c r="C27" s="125" t="s">
        <v>144</v>
      </c>
      <c r="D27" s="126">
        <v>0.94499999999999995</v>
      </c>
      <c r="E27" s="126">
        <v>0.72899999999999998</v>
      </c>
      <c r="F27" s="126">
        <v>0.63400000000000001</v>
      </c>
      <c r="G27" s="126">
        <v>0.50900000000000001</v>
      </c>
      <c r="H27" s="126">
        <v>0.51300000000000001</v>
      </c>
    </row>
    <row r="28" spans="2:8">
      <c r="B28" s="198"/>
      <c r="C28" s="125" t="s">
        <v>145</v>
      </c>
      <c r="D28" s="126">
        <v>0.94399999999999995</v>
      </c>
      <c r="E28" s="126">
        <v>0.78100000000000003</v>
      </c>
      <c r="F28" s="126">
        <v>0.90500000000000003</v>
      </c>
      <c r="G28" s="126">
        <v>1.1519999999999999</v>
      </c>
      <c r="H28" s="126">
        <v>1.004</v>
      </c>
    </row>
    <row r="29" spans="2:8">
      <c r="B29" s="199"/>
      <c r="C29" s="125" t="s">
        <v>146</v>
      </c>
      <c r="D29" s="126">
        <v>0.66500000000000004</v>
      </c>
      <c r="E29" s="126">
        <v>0.49199999999999999</v>
      </c>
      <c r="F29" s="126">
        <v>0.53200000000000003</v>
      </c>
      <c r="G29" s="126">
        <v>0.59699999999999998</v>
      </c>
      <c r="H29" s="126">
        <v>0.7</v>
      </c>
    </row>
    <row r="30" spans="2:8">
      <c r="B30" s="125"/>
      <c r="C30" s="125" t="s">
        <v>55</v>
      </c>
      <c r="D30" s="127">
        <f>+AVERAGE(D24:D29)</f>
        <v>0.83849999999999991</v>
      </c>
      <c r="E30" s="127">
        <f>+AVERAGE(E24:E29)</f>
        <v>0.76966666666666672</v>
      </c>
      <c r="F30" s="127">
        <f>+AVERAGE(F24:F29)</f>
        <v>0.75516666666666665</v>
      </c>
      <c r="G30" s="127">
        <f>+AVERAGE(G24:G29)</f>
        <v>0.78783333333333339</v>
      </c>
      <c r="H30" s="127">
        <f>+AVERAGE(H24:H29)</f>
        <v>0.77599999999999991</v>
      </c>
    </row>
    <row r="31" spans="2:8">
      <c r="D31" s="128"/>
      <c r="E31" s="128"/>
      <c r="F31" s="128"/>
      <c r="G31" s="128"/>
      <c r="H31" s="128"/>
    </row>
    <row r="32" spans="2:8">
      <c r="B32" s="120" t="s">
        <v>125</v>
      </c>
    </row>
    <row r="34" spans="2:14">
      <c r="B34" s="122"/>
      <c r="C34" s="122" t="s">
        <v>123</v>
      </c>
      <c r="D34" s="123">
        <v>2014</v>
      </c>
      <c r="E34" s="123">
        <f>+D34+1</f>
        <v>2015</v>
      </c>
      <c r="F34" s="124">
        <f>+E34+1</f>
        <v>2016</v>
      </c>
      <c r="G34" s="124">
        <f>+F34+1</f>
        <v>2017</v>
      </c>
      <c r="H34" s="124">
        <f>+G34+1</f>
        <v>2018</v>
      </c>
    </row>
    <row r="35" spans="2:14">
      <c r="B35" s="197" t="s">
        <v>161</v>
      </c>
      <c r="C35" s="125" t="s">
        <v>142</v>
      </c>
      <c r="D35" s="129">
        <v>0.22739999999999999</v>
      </c>
      <c r="E35" s="129">
        <v>0.25497999999999998</v>
      </c>
      <c r="F35" s="129">
        <v>0.31106</v>
      </c>
      <c r="G35" s="129">
        <v>0.3861</v>
      </c>
      <c r="H35" s="129">
        <v>0.36302000000000001</v>
      </c>
      <c r="J35" s="164"/>
      <c r="K35" s="164"/>
      <c r="L35" s="164"/>
      <c r="M35" s="164"/>
      <c r="N35" s="164"/>
    </row>
    <row r="36" spans="2:14">
      <c r="B36" s="198"/>
      <c r="C36" s="125" t="s">
        <v>124</v>
      </c>
      <c r="D36" s="129">
        <v>0.25046000000000002</v>
      </c>
      <c r="E36" s="129">
        <v>0.24129</v>
      </c>
      <c r="F36" s="129">
        <v>0.16545000000000001</v>
      </c>
      <c r="G36" s="129">
        <v>0.16761999999999999</v>
      </c>
      <c r="H36" s="129">
        <v>0.16955999999999999</v>
      </c>
      <c r="J36" s="164"/>
      <c r="K36" s="164"/>
      <c r="L36" s="164"/>
      <c r="M36" s="164"/>
      <c r="N36" s="164"/>
    </row>
    <row r="37" spans="2:14">
      <c r="B37" s="198"/>
      <c r="C37" s="125" t="s">
        <v>143</v>
      </c>
      <c r="D37" s="129">
        <v>0</v>
      </c>
      <c r="E37" s="129">
        <v>0</v>
      </c>
      <c r="F37" s="129">
        <v>0</v>
      </c>
      <c r="G37" s="129">
        <v>0</v>
      </c>
      <c r="H37" s="129">
        <v>0</v>
      </c>
      <c r="J37" s="164"/>
      <c r="K37" s="164"/>
      <c r="L37" s="164"/>
      <c r="M37" s="164"/>
      <c r="N37" s="164"/>
    </row>
    <row r="38" spans="2:14">
      <c r="B38" s="198"/>
      <c r="C38" s="125" t="s">
        <v>144</v>
      </c>
      <c r="D38" s="129">
        <v>0</v>
      </c>
      <c r="E38" s="129">
        <v>3.0700000000000002E-2</v>
      </c>
      <c r="F38" s="129">
        <v>3.3349999999999998E-2</v>
      </c>
      <c r="G38" s="129">
        <v>7.5509999999999994E-2</v>
      </c>
      <c r="H38" s="129">
        <v>4.4476000000000002E-2</v>
      </c>
      <c r="J38" s="164"/>
      <c r="K38" s="164"/>
      <c r="L38" s="164"/>
      <c r="M38" s="164"/>
      <c r="N38" s="164"/>
    </row>
    <row r="39" spans="2:14">
      <c r="B39" s="198"/>
      <c r="C39" s="125" t="s">
        <v>145</v>
      </c>
      <c r="D39" s="129">
        <v>0.31552000000000002</v>
      </c>
      <c r="E39" s="129">
        <v>0.34405000000000002</v>
      </c>
      <c r="F39" s="129">
        <v>0.36153000000000002</v>
      </c>
      <c r="G39" s="129">
        <v>0.40814</v>
      </c>
      <c r="H39" s="129">
        <v>0.36129</v>
      </c>
      <c r="J39" s="164"/>
      <c r="K39" s="164"/>
      <c r="L39" s="164"/>
      <c r="M39" s="164"/>
      <c r="N39" s="164"/>
    </row>
    <row r="40" spans="2:14">
      <c r="B40" s="199"/>
      <c r="C40" s="125" t="s">
        <v>146</v>
      </c>
      <c r="D40" s="129">
        <v>0.32796999999999998</v>
      </c>
      <c r="E40" s="129">
        <v>0.24614</v>
      </c>
      <c r="F40" s="129">
        <v>0.30059999999999998</v>
      </c>
      <c r="G40" s="129">
        <v>0.25790999999999997</v>
      </c>
      <c r="H40" s="129">
        <v>0.17973</v>
      </c>
      <c r="J40" s="164"/>
      <c r="K40" s="164"/>
      <c r="L40" s="164"/>
      <c r="M40" s="164"/>
      <c r="N40" s="164"/>
    </row>
    <row r="42" spans="2:14">
      <c r="B42" s="130" t="s">
        <v>126</v>
      </c>
    </row>
    <row r="44" spans="2:14">
      <c r="B44" s="122"/>
      <c r="C44" s="122" t="s">
        <v>123</v>
      </c>
      <c r="D44" s="123">
        <v>2014</v>
      </c>
      <c r="E44" s="123">
        <f>+D44+1</f>
        <v>2015</v>
      </c>
      <c r="F44" s="124">
        <f>+E44+1</f>
        <v>2016</v>
      </c>
      <c r="G44" s="124">
        <f>+F44+1</f>
        <v>2017</v>
      </c>
      <c r="H44" s="124">
        <f>+G44+1</f>
        <v>2018</v>
      </c>
    </row>
    <row r="45" spans="2:14">
      <c r="B45" s="197" t="s">
        <v>161</v>
      </c>
      <c r="C45" s="125" t="s">
        <v>142</v>
      </c>
      <c r="D45" s="129">
        <v>0.11670999999999999</v>
      </c>
      <c r="E45" s="129">
        <v>0.17693</v>
      </c>
      <c r="F45" s="129">
        <v>0.15511</v>
      </c>
      <c r="G45" s="129">
        <v>0.44812999999999997</v>
      </c>
      <c r="H45" s="129">
        <v>0.25573000000000001</v>
      </c>
      <c r="J45" s="164"/>
      <c r="K45" s="164"/>
      <c r="L45" s="164"/>
      <c r="M45" s="164"/>
      <c r="N45" s="164"/>
    </row>
    <row r="46" spans="2:14">
      <c r="B46" s="198"/>
      <c r="C46" s="125" t="s">
        <v>124</v>
      </c>
      <c r="D46" s="129">
        <v>0.28006999999999999</v>
      </c>
      <c r="E46" s="129">
        <v>0</v>
      </c>
      <c r="F46" s="129">
        <v>0</v>
      </c>
      <c r="G46" s="129">
        <v>0</v>
      </c>
      <c r="H46" s="129">
        <v>0.63585999999999998</v>
      </c>
      <c r="J46" s="164"/>
      <c r="K46" s="164"/>
      <c r="L46" s="164"/>
      <c r="M46" s="164"/>
      <c r="N46" s="164"/>
    </row>
    <row r="47" spans="2:14">
      <c r="B47" s="198"/>
      <c r="C47" s="125" t="s">
        <v>143</v>
      </c>
      <c r="D47" s="129">
        <v>0</v>
      </c>
      <c r="E47" s="129">
        <v>0</v>
      </c>
      <c r="F47" s="129">
        <v>0.34995999999999999</v>
      </c>
      <c r="G47" s="129">
        <v>0.25601000000000002</v>
      </c>
      <c r="H47" s="129">
        <v>0.32977000000000001</v>
      </c>
      <c r="J47" s="164"/>
      <c r="K47" s="164"/>
      <c r="L47" s="164"/>
      <c r="M47" s="164"/>
      <c r="N47" s="164"/>
    </row>
    <row r="48" spans="2:14">
      <c r="B48" s="198"/>
      <c r="C48" s="125" t="s">
        <v>144</v>
      </c>
      <c r="D48" s="129">
        <v>2.1800000000000001E-3</v>
      </c>
      <c r="E48" s="129">
        <v>1.23E-3</v>
      </c>
      <c r="F48" s="129">
        <v>4.8000000000000001E-4</v>
      </c>
      <c r="G48" s="129">
        <v>1.8400000000000001E-3</v>
      </c>
      <c r="H48" s="129">
        <v>1.97E-3</v>
      </c>
      <c r="J48" s="164"/>
      <c r="K48" s="164"/>
      <c r="L48" s="164"/>
      <c r="M48" s="164"/>
      <c r="N48" s="164"/>
    </row>
    <row r="49" spans="2:14">
      <c r="B49" s="198"/>
      <c r="C49" s="125" t="s">
        <v>145</v>
      </c>
      <c r="D49" s="129">
        <v>0.25340000000000001</v>
      </c>
      <c r="E49" s="129">
        <v>0.24901000000000001</v>
      </c>
      <c r="F49" s="129">
        <v>0.25002000000000002</v>
      </c>
      <c r="G49" s="129">
        <v>0.25062000000000001</v>
      </c>
      <c r="H49" s="129">
        <v>0.25408999999999998</v>
      </c>
      <c r="J49" s="164"/>
      <c r="K49" s="164"/>
      <c r="L49" s="164"/>
      <c r="M49" s="164"/>
      <c r="N49" s="164"/>
    </row>
    <row r="50" spans="2:14">
      <c r="B50" s="199"/>
      <c r="C50" s="125" t="s">
        <v>146</v>
      </c>
      <c r="D50" s="129">
        <v>0.28460999999999997</v>
      </c>
      <c r="E50" s="129">
        <v>0.28234999999999999</v>
      </c>
      <c r="F50" s="129">
        <v>0.28355999999999998</v>
      </c>
      <c r="G50" s="129">
        <v>0.2848</v>
      </c>
      <c r="H50" s="129">
        <v>0.28502</v>
      </c>
      <c r="J50" s="164"/>
      <c r="K50" s="164"/>
      <c r="L50" s="164"/>
      <c r="M50" s="164"/>
      <c r="N50" s="164"/>
    </row>
    <row r="51" spans="2:14">
      <c r="B51" s="130" t="s">
        <v>127</v>
      </c>
    </row>
    <row r="52" spans="2:14">
      <c r="B52" s="130"/>
    </row>
    <row r="53" spans="2:14" ht="15">
      <c r="B53" s="48" t="s">
        <v>164</v>
      </c>
    </row>
    <row r="54" spans="2:14">
      <c r="B54" s="122"/>
      <c r="C54" s="122" t="s">
        <v>123</v>
      </c>
      <c r="D54" s="123">
        <v>2014</v>
      </c>
      <c r="E54" s="123">
        <f>+D54+1</f>
        <v>2015</v>
      </c>
      <c r="F54" s="124">
        <f>+E54+1</f>
        <v>2016</v>
      </c>
      <c r="G54" s="124">
        <f>+F54+1</f>
        <v>2017</v>
      </c>
      <c r="H54" s="124">
        <f>+G54+1</f>
        <v>2018</v>
      </c>
    </row>
    <row r="55" spans="2:14">
      <c r="B55" s="197" t="s">
        <v>161</v>
      </c>
      <c r="C55" s="125" t="s">
        <v>142</v>
      </c>
      <c r="D55" s="126">
        <f>D24</f>
        <v>0.86499999999999999</v>
      </c>
      <c r="E55" s="126">
        <f t="shared" ref="E55:H55" si="0">E24</f>
        <v>0.73499999999999999</v>
      </c>
      <c r="F55" s="126">
        <f t="shared" si="0"/>
        <v>0.80300000000000005</v>
      </c>
      <c r="G55" s="126">
        <f t="shared" si="0"/>
        <v>0.94399999999999995</v>
      </c>
      <c r="H55" s="126">
        <f t="shared" si="0"/>
        <v>0.86199999999999999</v>
      </c>
    </row>
    <row r="56" spans="2:14">
      <c r="B56" s="198"/>
      <c r="C56" s="125" t="s">
        <v>124</v>
      </c>
      <c r="D56" s="126">
        <f t="shared" ref="D56:H56" si="1">D25</f>
        <v>0.77</v>
      </c>
      <c r="E56" s="126">
        <f t="shared" si="1"/>
        <v>0.67900000000000005</v>
      </c>
      <c r="F56" s="126">
        <f t="shared" si="1"/>
        <v>0.69899999999999995</v>
      </c>
      <c r="G56" s="126">
        <f t="shared" si="1"/>
        <v>0.65200000000000002</v>
      </c>
      <c r="H56" s="126">
        <f t="shared" si="1"/>
        <v>0.78300000000000003</v>
      </c>
    </row>
    <row r="57" spans="2:14">
      <c r="B57" s="198"/>
      <c r="C57" s="125" t="s">
        <v>143</v>
      </c>
      <c r="D57" s="126">
        <f t="shared" ref="D57:H57" si="2">D26</f>
        <v>0.84199999999999997</v>
      </c>
      <c r="E57" s="126">
        <f t="shared" si="2"/>
        <v>1.202</v>
      </c>
      <c r="F57" s="126">
        <f t="shared" si="2"/>
        <v>0.95799999999999996</v>
      </c>
      <c r="G57" s="126">
        <f t="shared" si="2"/>
        <v>0.873</v>
      </c>
      <c r="H57" s="126">
        <f t="shared" si="2"/>
        <v>0.79400000000000004</v>
      </c>
    </row>
    <row r="58" spans="2:14">
      <c r="B58" s="198"/>
      <c r="C58" s="125" t="s">
        <v>144</v>
      </c>
      <c r="D58" s="126">
        <f t="shared" ref="D58:H58" si="3">D27</f>
        <v>0.94499999999999995</v>
      </c>
      <c r="E58" s="126">
        <f t="shared" si="3"/>
        <v>0.72899999999999998</v>
      </c>
      <c r="F58" s="126">
        <f t="shared" si="3"/>
        <v>0.63400000000000001</v>
      </c>
      <c r="G58" s="126">
        <f t="shared" si="3"/>
        <v>0.50900000000000001</v>
      </c>
      <c r="H58" s="126">
        <f t="shared" si="3"/>
        <v>0.51300000000000001</v>
      </c>
    </row>
    <row r="59" spans="2:14">
      <c r="B59" s="198"/>
      <c r="C59" s="125" t="s">
        <v>145</v>
      </c>
      <c r="D59" s="126">
        <f t="shared" ref="D59:H59" si="4">D28</f>
        <v>0.94399999999999995</v>
      </c>
      <c r="E59" s="126">
        <f t="shared" si="4"/>
        <v>0.78100000000000003</v>
      </c>
      <c r="F59" s="126">
        <f t="shared" si="4"/>
        <v>0.90500000000000003</v>
      </c>
      <c r="G59" s="126">
        <f t="shared" si="4"/>
        <v>1.1519999999999999</v>
      </c>
      <c r="H59" s="126">
        <f t="shared" si="4"/>
        <v>1.004</v>
      </c>
    </row>
    <row r="60" spans="2:14">
      <c r="B60" s="199"/>
      <c r="C60" s="125" t="s">
        <v>146</v>
      </c>
      <c r="D60" s="126">
        <f t="shared" ref="D60:H60" si="5">D29</f>
        <v>0.66500000000000004</v>
      </c>
      <c r="E60" s="126">
        <f t="shared" si="5"/>
        <v>0.49199999999999999</v>
      </c>
      <c r="F60" s="126">
        <f t="shared" si="5"/>
        <v>0.53200000000000003</v>
      </c>
      <c r="G60" s="126">
        <f t="shared" si="5"/>
        <v>0.59699999999999998</v>
      </c>
      <c r="H60" s="126">
        <f t="shared" si="5"/>
        <v>0.7</v>
      </c>
    </row>
    <row r="62" spans="2:14">
      <c r="B62" s="120" t="s">
        <v>111</v>
      </c>
    </row>
    <row r="64" spans="2:14">
      <c r="B64" s="122"/>
      <c r="C64" s="122" t="s">
        <v>123</v>
      </c>
      <c r="D64" s="123">
        <v>2014</v>
      </c>
      <c r="E64" s="123">
        <f>+D64+1</f>
        <v>2015</v>
      </c>
      <c r="F64" s="124">
        <f>+E64+1</f>
        <v>2016</v>
      </c>
      <c r="G64" s="124">
        <f>+F64+1</f>
        <v>2017</v>
      </c>
      <c r="H64" s="124">
        <f>+G64+1</f>
        <v>2018</v>
      </c>
    </row>
    <row r="65" spans="2:9">
      <c r="B65" s="197" t="s">
        <v>161</v>
      </c>
      <c r="C65" s="125" t="s">
        <v>142</v>
      </c>
      <c r="D65" s="126">
        <f t="shared" ref="D65:H70" si="6">+D55/(1+(1-D45)*D35)</f>
        <v>0.72031701849817242</v>
      </c>
      <c r="E65" s="126">
        <f>+E55/(1+(1-E45)*E35)</f>
        <v>0.60750509884856552</v>
      </c>
      <c r="F65" s="126">
        <f t="shared" si="6"/>
        <v>0.63588271927809747</v>
      </c>
      <c r="G65" s="126">
        <f t="shared" si="6"/>
        <v>0.77818637609376429</v>
      </c>
      <c r="H65" s="126">
        <f>+H55/(1+(1-H45)*H35)</f>
        <v>0.67864135616928711</v>
      </c>
    </row>
    <row r="66" spans="2:9">
      <c r="B66" s="198"/>
      <c r="C66" s="125" t="s">
        <v>124</v>
      </c>
      <c r="D66" s="126">
        <f t="shared" si="6"/>
        <v>0.6523689600538235</v>
      </c>
      <c r="E66" s="126">
        <f t="shared" si="6"/>
        <v>0.54701157666621014</v>
      </c>
      <c r="F66" s="126">
        <f t="shared" si="6"/>
        <v>0.59976832982967943</v>
      </c>
      <c r="G66" s="126">
        <f t="shared" si="6"/>
        <v>0.55840084959147673</v>
      </c>
      <c r="H66" s="126">
        <f t="shared" si="6"/>
        <v>0.73746619798722579</v>
      </c>
    </row>
    <row r="67" spans="2:9">
      <c r="B67" s="198"/>
      <c r="C67" s="125" t="s">
        <v>143</v>
      </c>
      <c r="D67" s="126">
        <f t="shared" si="6"/>
        <v>0.84199999999999997</v>
      </c>
      <c r="E67" s="126">
        <f t="shared" si="6"/>
        <v>1.202</v>
      </c>
      <c r="F67" s="126">
        <f t="shared" si="6"/>
        <v>0.95799999999999996</v>
      </c>
      <c r="G67" s="126">
        <f t="shared" si="6"/>
        <v>0.873</v>
      </c>
      <c r="H67" s="126">
        <f t="shared" si="6"/>
        <v>0.79400000000000004</v>
      </c>
    </row>
    <row r="68" spans="2:9">
      <c r="B68" s="198"/>
      <c r="C68" s="125" t="s">
        <v>144</v>
      </c>
      <c r="D68" s="126">
        <f t="shared" si="6"/>
        <v>0.94499999999999995</v>
      </c>
      <c r="E68" s="126">
        <f t="shared" si="6"/>
        <v>0.70731222355377277</v>
      </c>
      <c r="F68" s="126">
        <f t="shared" si="6"/>
        <v>0.61354799600940646</v>
      </c>
      <c r="G68" s="126">
        <f t="shared" si="6"/>
        <v>0.47332499281009105</v>
      </c>
      <c r="H68" s="126">
        <f t="shared" si="6"/>
        <v>0.49119657849896015</v>
      </c>
    </row>
    <row r="69" spans="2:9">
      <c r="B69" s="198"/>
      <c r="C69" s="125" t="s">
        <v>145</v>
      </c>
      <c r="D69" s="126">
        <f t="shared" si="6"/>
        <v>0.76402155669987859</v>
      </c>
      <c r="E69" s="126">
        <f t="shared" si="6"/>
        <v>0.62064016697677626</v>
      </c>
      <c r="F69" s="126">
        <f t="shared" si="6"/>
        <v>0.7119591926917519</v>
      </c>
      <c r="G69" s="126">
        <f t="shared" si="6"/>
        <v>0.88218269856473042</v>
      </c>
      <c r="H69" s="126">
        <f t="shared" si="6"/>
        <v>0.7908688837816843</v>
      </c>
    </row>
    <row r="70" spans="2:9">
      <c r="B70" s="199"/>
      <c r="C70" s="125" t="s">
        <v>146</v>
      </c>
      <c r="D70" s="126">
        <f t="shared" si="6"/>
        <v>0.53862445238348577</v>
      </c>
      <c r="E70" s="126">
        <f t="shared" si="6"/>
        <v>0.41813894529555401</v>
      </c>
      <c r="F70" s="126">
        <f t="shared" si="6"/>
        <v>0.43772971306593511</v>
      </c>
      <c r="G70" s="126">
        <f t="shared" si="6"/>
        <v>0.50402832949227161</v>
      </c>
      <c r="H70" s="126">
        <f t="shared" si="6"/>
        <v>0.6202905792441209</v>
      </c>
    </row>
    <row r="72" spans="2:9">
      <c r="B72" s="118" t="s">
        <v>128</v>
      </c>
    </row>
    <row r="73" spans="2:9">
      <c r="C73" s="122"/>
      <c r="D73" s="123">
        <v>2014</v>
      </c>
      <c r="E73" s="123">
        <f>+D73+1</f>
        <v>2015</v>
      </c>
      <c r="F73" s="124">
        <f>+E73+1</f>
        <v>2016</v>
      </c>
      <c r="G73" s="124">
        <f>+F73+1</f>
        <v>2017</v>
      </c>
      <c r="H73" s="124">
        <f>+G73+1</f>
        <v>2018</v>
      </c>
    </row>
    <row r="74" spans="2:9">
      <c r="C74" s="122" t="s">
        <v>129</v>
      </c>
      <c r="D74" s="126">
        <f>+AVERAGE(D65:D70)</f>
        <v>0.74372199793922678</v>
      </c>
      <c r="E74" s="126">
        <f>+AVERAGE(E65:E70)</f>
        <v>0.68376800189014642</v>
      </c>
      <c r="F74" s="126">
        <f>+AVERAGE(F65:F70)</f>
        <v>0.6594813251458117</v>
      </c>
      <c r="G74" s="126">
        <f>+AVERAGE(G65:G70)</f>
        <v>0.67818720775872221</v>
      </c>
      <c r="H74" s="126">
        <f>+AVERAGE(H65:H70)</f>
        <v>0.68541059928021308</v>
      </c>
    </row>
    <row r="75" spans="2:9" ht="15" customHeight="1">
      <c r="C75" s="122" t="s">
        <v>130</v>
      </c>
      <c r="D75" s="126">
        <f>+D74*(1+(1-D86)*(D84/D85))</f>
        <v>1.9941945080448094</v>
      </c>
      <c r="E75" s="126">
        <f>+E74*(1+(1-E86)*(E84/E85))</f>
        <v>1.9056468325200304</v>
      </c>
      <c r="F75" s="126">
        <f>+F74*(1+(1-F86)*(F84/F85))</f>
        <v>1.6923291766576416</v>
      </c>
      <c r="G75" s="126">
        <f>+G74*(1+(1-G86)*(G84/G85))</f>
        <v>1.5987350589165674</v>
      </c>
      <c r="H75" s="126">
        <f>+H74*(1+(1-H86)*(H84/H85))</f>
        <v>1.5185933323087788</v>
      </c>
    </row>
    <row r="77" spans="2:9">
      <c r="C77" s="122" t="s">
        <v>19</v>
      </c>
      <c r="D77" s="123">
        <v>2014</v>
      </c>
      <c r="E77" s="123">
        <f>+D77+1</f>
        <v>2015</v>
      </c>
      <c r="F77" s="123">
        <f>+E77+1</f>
        <v>2016</v>
      </c>
      <c r="G77" s="123">
        <f>+F77+1</f>
        <v>2017</v>
      </c>
      <c r="H77" s="124">
        <f>+G77+1</f>
        <v>2018</v>
      </c>
      <c r="I77" s="124" t="s">
        <v>162</v>
      </c>
    </row>
    <row r="78" spans="2:9">
      <c r="C78" s="131" t="s">
        <v>131</v>
      </c>
      <c r="D78" s="132">
        <f>+D75</f>
        <v>1.9941945080448094</v>
      </c>
      <c r="E78" s="132">
        <f>+E75</f>
        <v>1.9056468325200304</v>
      </c>
      <c r="F78" s="132">
        <f>+F75</f>
        <v>1.6923291766576416</v>
      </c>
      <c r="G78" s="132">
        <f>+G75</f>
        <v>1.5987350589165674</v>
      </c>
      <c r="H78" s="132">
        <f>+H75</f>
        <v>1.5185933323087788</v>
      </c>
      <c r="I78" s="132">
        <f>+AVERAGE(D78:H78)</f>
        <v>1.7418997816895654</v>
      </c>
    </row>
    <row r="79" spans="2:9" ht="13.5">
      <c r="C79" s="131" t="s">
        <v>132</v>
      </c>
      <c r="D79" s="133">
        <f>+AVERAGE(C113:C199)</f>
        <v>5.2762052491632939E-2</v>
      </c>
      <c r="E79" s="133">
        <f>+AVERAGE(C113:C200)</f>
        <v>5.2307938258773473E-2</v>
      </c>
      <c r="F79" s="133">
        <f>+AVERAGE(C113:C201)</f>
        <v>5.1797736705304111E-2</v>
      </c>
      <c r="G79" s="133">
        <f>+AVERAGE(C113:C202)</f>
        <v>5.1533317408578506E-2</v>
      </c>
      <c r="H79" s="133">
        <f>+AVERAGE(C113:C203)</f>
        <v>5.1274709524967745E-2</v>
      </c>
      <c r="I79" s="133">
        <f>+D79</f>
        <v>5.2762052491632939E-2</v>
      </c>
    </row>
    <row r="80" spans="2:9" ht="13.5">
      <c r="C80" s="131" t="s">
        <v>133</v>
      </c>
      <c r="D80" s="133">
        <f>+AVERAGE(G113:G199)-D79</f>
        <v>6.2512845832321889E-2</v>
      </c>
      <c r="E80" s="133">
        <f>+AVERAGE(G113:G200)-E79</f>
        <v>6.1813836220590959E-2</v>
      </c>
      <c r="F80" s="133">
        <f>+AVERAGE(G113:G201)-F79</f>
        <v>6.2364242555191053E-2</v>
      </c>
      <c r="G80" s="133">
        <f>+AVERAGE(G113:G202)-G79</f>
        <v>6.3764639860133393E-2</v>
      </c>
      <c r="H80" s="133">
        <f>+AVERAGE(G113:G203)-H79</f>
        <v>6.5134259202329736E-2</v>
      </c>
      <c r="I80" s="133">
        <f>+D80</f>
        <v>6.2512845832321889E-2</v>
      </c>
    </row>
    <row r="81" spans="3:9" ht="13.5">
      <c r="C81" s="131" t="s">
        <v>134</v>
      </c>
      <c r="D81" s="133">
        <f>+E105</f>
        <v>1.62251025848936E-2</v>
      </c>
      <c r="E81" s="133">
        <f>+F105</f>
        <v>2.0071119655198602E-2</v>
      </c>
      <c r="F81" s="133">
        <f>+G105</f>
        <v>1.9975514288025728E-2</v>
      </c>
      <c r="G81" s="133">
        <f>+H105</f>
        <v>1.4507051819271498E-2</v>
      </c>
      <c r="H81" s="133">
        <f>+I105</f>
        <v>1.4729140776677002E-2</v>
      </c>
      <c r="I81" s="133">
        <f>+AVERAGE(D105:E105)</f>
        <v>1.6041596174221948E-2</v>
      </c>
    </row>
    <row r="82" spans="3:9" ht="13.5">
      <c r="C82" s="134" t="s">
        <v>135</v>
      </c>
      <c r="D82" s="135">
        <f t="shared" ref="D82:H82" si="7">D79+D80*D78+D81</f>
        <v>0.19364992891759469</v>
      </c>
      <c r="E82" s="135">
        <f>E79+E80*E78+E81</f>
        <v>0.19017439911365314</v>
      </c>
      <c r="F82" s="135">
        <f t="shared" si="7"/>
        <v>0.17731407824963374</v>
      </c>
      <c r="G82" s="135">
        <f t="shared" si="7"/>
        <v>0.16798313449143407</v>
      </c>
      <c r="H82" s="135">
        <f t="shared" si="7"/>
        <v>0.16491630203117441</v>
      </c>
      <c r="I82" s="135">
        <f>I79+I80*I78+I81</f>
        <v>0.17769476117396982</v>
      </c>
    </row>
    <row r="83" spans="3:9" ht="13.5">
      <c r="C83" s="131" t="s">
        <v>136</v>
      </c>
      <c r="D83" s="136">
        <v>7.489999999999998E-2</v>
      </c>
      <c r="E83" s="136">
        <v>7.4899999999999994E-2</v>
      </c>
      <c r="F83" s="136">
        <v>7.4900000000000008E-2</v>
      </c>
      <c r="G83" s="136">
        <v>7.4899999999999994E-2</v>
      </c>
      <c r="H83" s="136">
        <v>7.4900000000000008E-2</v>
      </c>
      <c r="I83" s="136">
        <f>+AVERAGE(E83:H83)</f>
        <v>7.4899999999999994E-2</v>
      </c>
    </row>
    <row r="84" spans="3:9">
      <c r="C84" s="131" t="s">
        <v>137</v>
      </c>
      <c r="D84" s="137">
        <v>0.70605166717343593</v>
      </c>
      <c r="E84" s="137">
        <v>0.71280170418436428</v>
      </c>
      <c r="F84" s="137">
        <v>0.68506028069719394</v>
      </c>
      <c r="G84" s="137">
        <v>0.65815950961662639</v>
      </c>
      <c r="H84" s="137">
        <v>0.63292654339746757</v>
      </c>
      <c r="I84" s="137">
        <f>+AVERAGE(E84:H84)</f>
        <v>0.67223700947391318</v>
      </c>
    </row>
    <row r="85" spans="3:9">
      <c r="C85" s="131" t="s">
        <v>138</v>
      </c>
      <c r="D85" s="137">
        <v>0.29394833282656407</v>
      </c>
      <c r="E85" s="137">
        <v>0.28719829581563572</v>
      </c>
      <c r="F85" s="137">
        <v>0.31493971930280606</v>
      </c>
      <c r="G85" s="137">
        <v>0.34184049038337361</v>
      </c>
      <c r="H85" s="137">
        <v>0.36707345660253243</v>
      </c>
      <c r="I85" s="137">
        <f>1-I84</f>
        <v>0.32776299052608682</v>
      </c>
    </row>
    <row r="86" spans="3:9">
      <c r="C86" s="131" t="s">
        <v>139</v>
      </c>
      <c r="D86" s="138">
        <v>0.3</v>
      </c>
      <c r="E86" s="138">
        <v>0.28000000000000003</v>
      </c>
      <c r="F86" s="138">
        <v>0.28000000000000003</v>
      </c>
      <c r="G86" s="138">
        <v>0.29499999999999998</v>
      </c>
      <c r="H86" s="138">
        <v>0.29499999999999998</v>
      </c>
      <c r="I86" s="138">
        <f>+D86</f>
        <v>0.3</v>
      </c>
    </row>
    <row r="87" spans="3:9">
      <c r="C87" s="139" t="s">
        <v>140</v>
      </c>
      <c r="D87" s="135">
        <f t="shared" ref="D87:H87" si="8">D88+D89</f>
        <v>9.3941362667212841E-2</v>
      </c>
      <c r="E87" s="135">
        <f>E88+E89</f>
        <v>9.3057733636458112E-2</v>
      </c>
      <c r="F87" s="135">
        <f>F88+F89</f>
        <v>9.2787176849813718E-2</v>
      </c>
      <c r="G87" s="135">
        <f t="shared" si="8"/>
        <v>9.217722089623917E-2</v>
      </c>
      <c r="H87" s="135">
        <f t="shared" si="8"/>
        <v>9.395776669752201E-2</v>
      </c>
      <c r="I87" s="135">
        <f>I88+I89</f>
        <v>9.3487152729916395E-2</v>
      </c>
    </row>
    <row r="88" spans="3:9">
      <c r="C88" s="131" t="s">
        <v>141</v>
      </c>
      <c r="D88" s="138">
        <f t="shared" ref="D88:H88" si="9">D82*D85</f>
        <v>5.6923073757309602E-2</v>
      </c>
      <c r="E88" s="138">
        <f t="shared" si="9"/>
        <v>5.4617763333203721E-2</v>
      </c>
      <c r="F88" s="138">
        <f t="shared" si="9"/>
        <v>5.5843246032375442E-2</v>
      </c>
      <c r="G88" s="138">
        <f t="shared" si="9"/>
        <v>5.7423437070688026E-2</v>
      </c>
      <c r="H88" s="138">
        <f t="shared" si="9"/>
        <v>6.0536397036690434E-2</v>
      </c>
      <c r="I88" s="138">
        <f>I82*I85</f>
        <v>5.8241766323199128E-2</v>
      </c>
    </row>
    <row r="89" spans="3:9">
      <c r="C89" s="131" t="s">
        <v>114</v>
      </c>
      <c r="D89" s="138">
        <f t="shared" ref="D89:H89" si="10">D83*D84*(1-D86)</f>
        <v>3.7018288909903233E-2</v>
      </c>
      <c r="E89" s="138">
        <f t="shared" si="10"/>
        <v>3.8439970303254391E-2</v>
      </c>
      <c r="F89" s="138">
        <f t="shared" si="10"/>
        <v>3.6943930817438277E-2</v>
      </c>
      <c r="G89" s="138">
        <f t="shared" si="10"/>
        <v>3.4753783825551152E-2</v>
      </c>
      <c r="H89" s="138">
        <f t="shared" si="10"/>
        <v>3.3421369660831583E-2</v>
      </c>
      <c r="I89" s="138">
        <f>I83*I84*(1-I86)</f>
        <v>3.5245386406717261E-2</v>
      </c>
    </row>
    <row r="92" spans="3:9">
      <c r="C92" s="140" t="s">
        <v>91</v>
      </c>
      <c r="D92" s="123">
        <v>2013</v>
      </c>
      <c r="E92" s="123">
        <f>+D77</f>
        <v>2014</v>
      </c>
      <c r="F92" s="123">
        <f>+E77</f>
        <v>2015</v>
      </c>
      <c r="G92" s="123">
        <f>+F77</f>
        <v>2016</v>
      </c>
      <c r="H92" s="123">
        <f>+G92+1</f>
        <v>2017</v>
      </c>
      <c r="I92" s="124">
        <f>+H92+1</f>
        <v>2018</v>
      </c>
    </row>
    <row r="93" spans="3:9">
      <c r="C93" s="178" t="s">
        <v>92</v>
      </c>
      <c r="D93" s="138">
        <v>1.09857142857143E-2</v>
      </c>
      <c r="E93" s="138">
        <v>1.77047619047619E-2</v>
      </c>
      <c r="F93" s="136">
        <v>2.018E-2</v>
      </c>
      <c r="G93" s="136">
        <v>2.6631578947368399E-2</v>
      </c>
      <c r="H93" s="136">
        <v>1.5730000000000001E-2</v>
      </c>
      <c r="I93" s="136">
        <v>1.21576923076923E-2</v>
      </c>
    </row>
    <row r="94" spans="3:9">
      <c r="C94" s="178" t="s">
        <v>93</v>
      </c>
      <c r="D94" s="138">
        <v>1.27210526315789E-2</v>
      </c>
      <c r="E94" s="138">
        <v>1.8252631578947402E-2</v>
      </c>
      <c r="F94" s="136">
        <v>1.8284210526315788E-2</v>
      </c>
      <c r="G94" s="136">
        <v>2.8170000000000001E-2</v>
      </c>
      <c r="H94" s="136">
        <v>1.5210526315789475E-2</v>
      </c>
      <c r="I94" s="136">
        <v>1.3210526315789499E-2</v>
      </c>
    </row>
    <row r="95" spans="3:9">
      <c r="C95" s="178" t="s">
        <v>94</v>
      </c>
      <c r="D95" s="138">
        <v>1.3994999999999999E-2</v>
      </c>
      <c r="E95" s="138">
        <v>1.6723809523809502E-2</v>
      </c>
      <c r="F95" s="136">
        <v>1.8445454545454546E-2</v>
      </c>
      <c r="G95" s="136">
        <v>2.2690909090909091E-2</v>
      </c>
      <c r="H95" s="136">
        <v>1.4108695652173913E-2</v>
      </c>
      <c r="I95" s="136">
        <v>1.4546153846153799E-2</v>
      </c>
    </row>
    <row r="96" spans="3:9">
      <c r="C96" s="178" t="s">
        <v>95</v>
      </c>
      <c r="D96" s="138">
        <v>1.3254545454545498E-2</v>
      </c>
      <c r="E96" s="138">
        <v>1.53809523809524E-2</v>
      </c>
      <c r="F96" s="136">
        <v>1.7695454545454545E-2</v>
      </c>
      <c r="G96" s="136">
        <v>2.1004761904761905E-2</v>
      </c>
      <c r="H96" s="136">
        <v>1.491578947368421E-2</v>
      </c>
      <c r="I96" s="136">
        <v>1.4523809523809501E-2</v>
      </c>
    </row>
    <row r="97" spans="2:9">
      <c r="C97" s="178" t="s">
        <v>96</v>
      </c>
      <c r="D97" s="138">
        <v>1.3304545454545499E-2</v>
      </c>
      <c r="E97" s="138">
        <v>1.4923809523809501E-2</v>
      </c>
      <c r="F97" s="136">
        <v>1.6590000000000001E-2</v>
      </c>
      <c r="G97" s="136">
        <v>2.0790476190476189E-2</v>
      </c>
      <c r="H97" s="136">
        <v>1.4118181818181818E-2</v>
      </c>
      <c r="I97" s="136">
        <v>1.57590909090909E-2</v>
      </c>
    </row>
    <row r="98" spans="2:9">
      <c r="C98" s="178" t="s">
        <v>97</v>
      </c>
      <c r="D98" s="142">
        <v>1.7979999999999999E-2</v>
      </c>
      <c r="E98" s="142">
        <f>1.45428571428571/100</f>
        <v>1.45428571428571E-2</v>
      </c>
      <c r="F98" s="136">
        <v>1.7649999999999999E-2</v>
      </c>
      <c r="G98" s="136">
        <v>2.0990909090909091E-2</v>
      </c>
      <c r="H98" s="136">
        <v>1.435E-2</v>
      </c>
      <c r="I98" s="136">
        <v>1.63333333333333E-2</v>
      </c>
    </row>
    <row r="99" spans="2:9">
      <c r="C99" s="178" t="s">
        <v>98</v>
      </c>
      <c r="D99" s="142">
        <v>1.7500000000000002E-2</v>
      </c>
      <c r="E99" s="142">
        <f>1.46818181818182/100</f>
        <v>1.46818181818182E-2</v>
      </c>
      <c r="F99" s="136">
        <v>1.8731818181818183E-2</v>
      </c>
      <c r="G99" s="136">
        <v>1.8374999999999999E-2</v>
      </c>
      <c r="H99" s="136">
        <v>1.4190000000000001E-2</v>
      </c>
      <c r="I99" s="136">
        <v>1.5023809523809502E-2</v>
      </c>
    </row>
    <row r="100" spans="2:9">
      <c r="C100" s="178" t="s">
        <v>99</v>
      </c>
      <c r="D100" s="142">
        <v>1.9054545454545498E-2</v>
      </c>
      <c r="E100" s="142">
        <f>1.57285714285714/100</f>
        <v>1.5728571428571401E-2</v>
      </c>
      <c r="F100" s="136">
        <v>2.1747619047619047E-2</v>
      </c>
      <c r="G100" s="136">
        <v>1.696086956521739E-2</v>
      </c>
      <c r="H100" s="136">
        <v>1.5603571428571428E-2</v>
      </c>
      <c r="I100" s="136">
        <v>1.49260869565217E-2</v>
      </c>
    </row>
    <row r="101" spans="2:9">
      <c r="C101" s="178" t="s">
        <v>100</v>
      </c>
      <c r="D101" s="142">
        <v>1.822E-2</v>
      </c>
      <c r="E101" s="142">
        <v>1.4976190476190476E-2</v>
      </c>
      <c r="F101" s="136">
        <v>2.3404761904761904E-2</v>
      </c>
      <c r="G101" s="136">
        <v>1.6185714285714286E-2</v>
      </c>
      <c r="H101" s="136">
        <v>1.44E-2</v>
      </c>
      <c r="I101" s="136">
        <v>1.3952631579999999E-2</v>
      </c>
    </row>
    <row r="102" spans="2:9">
      <c r="C102" s="178" t="s">
        <v>101</v>
      </c>
      <c r="D102" s="138">
        <v>1.7318181818181799E-2</v>
      </c>
      <c r="E102" s="138">
        <v>1.7018181818181818E-2</v>
      </c>
      <c r="F102" s="136">
        <v>2.2609523809523809E-2</v>
      </c>
      <c r="G102" s="136">
        <v>1.4659999999999999E-2</v>
      </c>
      <c r="H102" s="136">
        <v>1.3961904761904762E-2</v>
      </c>
      <c r="I102" s="136">
        <v>1.4331818181818201E-2</v>
      </c>
    </row>
    <row r="103" spans="2:9">
      <c r="C103" s="178" t="s">
        <v>102</v>
      </c>
      <c r="D103" s="138">
        <v>1.82444444444444E-2</v>
      </c>
      <c r="E103" s="138">
        <v>1.6517647058823529E-2</v>
      </c>
      <c r="F103" s="136">
        <v>2.1873684210526316E-2</v>
      </c>
      <c r="G103" s="136">
        <v>1.6765000000000002E-2</v>
      </c>
      <c r="H103" s="136">
        <v>1.3880952380952379E-2</v>
      </c>
      <c r="I103" s="136">
        <v>1.5689999999999999E-2</v>
      </c>
    </row>
    <row r="104" spans="2:9">
      <c r="C104" s="178" t="s">
        <v>103</v>
      </c>
      <c r="D104" s="138">
        <v>1.77190476190476E-2</v>
      </c>
      <c r="E104" s="138">
        <v>1.8249999999999999E-2</v>
      </c>
      <c r="F104" s="136">
        <v>2.3640909090909091E-2</v>
      </c>
      <c r="G104" s="136">
        <v>1.6480952380952381E-2</v>
      </c>
      <c r="H104" s="136">
        <v>1.3615E-2</v>
      </c>
      <c r="I104" s="136">
        <v>1.6294736842105299E-2</v>
      </c>
    </row>
    <row r="105" spans="2:9">
      <c r="C105" s="140" t="s">
        <v>104</v>
      </c>
      <c r="D105" s="135">
        <f t="shared" ref="D105:H105" si="11">+AVERAGE(D93:D104)</f>
        <v>1.5858089763550291E-2</v>
      </c>
      <c r="E105" s="135">
        <f t="shared" si="11"/>
        <v>1.62251025848936E-2</v>
      </c>
      <c r="F105" s="135">
        <f t="shared" si="11"/>
        <v>2.0071119655198602E-2</v>
      </c>
      <c r="G105" s="135">
        <f t="shared" si="11"/>
        <v>1.9975514288025728E-2</v>
      </c>
      <c r="H105" s="135">
        <f t="shared" si="11"/>
        <v>1.4507051819271498E-2</v>
      </c>
      <c r="I105" s="135">
        <f>+AVERAGE(I93:I104)</f>
        <v>1.4729140776677002E-2</v>
      </c>
    </row>
    <row r="106" spans="2:9">
      <c r="C106" s="144" t="s">
        <v>105</v>
      </c>
      <c r="D106" s="144"/>
      <c r="E106" s="144"/>
      <c r="F106" s="144"/>
      <c r="G106" s="144"/>
      <c r="I106" s="143"/>
    </row>
    <row r="107" spans="2:9">
      <c r="C107" s="144" t="s">
        <v>106</v>
      </c>
      <c r="D107" s="144"/>
      <c r="E107" s="144"/>
      <c r="F107" s="144"/>
      <c r="G107" s="144"/>
      <c r="H107" s="143"/>
    </row>
    <row r="108" spans="2:9">
      <c r="I108" s="143"/>
    </row>
    <row r="110" spans="2:9">
      <c r="B110" s="145" t="s">
        <v>85</v>
      </c>
      <c r="C110" s="146"/>
      <c r="D110" s="144"/>
      <c r="E110" s="144"/>
      <c r="F110" s="120" t="s">
        <v>86</v>
      </c>
      <c r="G110" s="144"/>
      <c r="H110" s="144"/>
    </row>
    <row r="111" spans="2:9">
      <c r="B111" s="146" t="s">
        <v>22</v>
      </c>
      <c r="C111" s="146"/>
      <c r="D111" s="144"/>
      <c r="E111" s="144"/>
      <c r="F111" s="144"/>
      <c r="G111" s="144"/>
      <c r="H111" s="144"/>
    </row>
    <row r="112" spans="2:9">
      <c r="B112" s="147" t="s">
        <v>0</v>
      </c>
      <c r="C112" s="141" t="s">
        <v>87</v>
      </c>
      <c r="D112" s="147" t="s">
        <v>88</v>
      </c>
      <c r="E112" s="144"/>
      <c r="F112" s="147" t="s">
        <v>89</v>
      </c>
      <c r="G112" s="141" t="s">
        <v>90</v>
      </c>
      <c r="H112" s="147" t="s">
        <v>90</v>
      </c>
    </row>
    <row r="113" spans="2:9">
      <c r="B113" s="148">
        <v>1928</v>
      </c>
      <c r="C113" s="149">
        <v>8.3999999999999995E-3</v>
      </c>
      <c r="D113" s="150">
        <v>100.84</v>
      </c>
      <c r="E113" s="144"/>
      <c r="F113" s="148">
        <v>1928</v>
      </c>
      <c r="G113" s="151">
        <v>0.43811155152887893</v>
      </c>
      <c r="H113" s="152">
        <v>143.81115515288789</v>
      </c>
    </row>
    <row r="114" spans="2:9">
      <c r="B114" s="148">
        <v>1929</v>
      </c>
      <c r="C114" s="149">
        <v>4.2000000000000003E-2</v>
      </c>
      <c r="D114" s="150">
        <v>105.07</v>
      </c>
      <c r="E114" s="153"/>
      <c r="F114" s="148">
        <v>1929</v>
      </c>
      <c r="G114" s="151">
        <v>-8.2979466119096595E-2</v>
      </c>
      <c r="H114" s="152">
        <v>131.87778227633069</v>
      </c>
      <c r="I114" s="154"/>
    </row>
    <row r="115" spans="2:9">
      <c r="B115" s="148">
        <v>1930</v>
      </c>
      <c r="C115" s="149">
        <v>4.5400000000000003E-2</v>
      </c>
      <c r="D115" s="150">
        <v>109.85</v>
      </c>
      <c r="E115" s="144"/>
      <c r="F115" s="148">
        <v>1930</v>
      </c>
      <c r="G115" s="151">
        <v>-0.25123636363636365</v>
      </c>
      <c r="H115" s="152">
        <v>98.745287812797272</v>
      </c>
    </row>
    <row r="116" spans="2:9">
      <c r="B116" s="148">
        <v>1931</v>
      </c>
      <c r="C116" s="149">
        <v>-2.5600000000000001E-2</v>
      </c>
      <c r="D116" s="150">
        <v>107.03</v>
      </c>
      <c r="E116" s="144"/>
      <c r="F116" s="148">
        <v>1931</v>
      </c>
      <c r="G116" s="151">
        <v>-0.43837548891786188</v>
      </c>
      <c r="H116" s="152">
        <v>55.457773989527276</v>
      </c>
    </row>
    <row r="117" spans="2:9">
      <c r="B117" s="148">
        <v>1932</v>
      </c>
      <c r="C117" s="149">
        <v>8.7900000000000006E-2</v>
      </c>
      <c r="D117" s="150">
        <v>116.44</v>
      </c>
      <c r="E117" s="144"/>
      <c r="F117" s="148">
        <v>1932</v>
      </c>
      <c r="G117" s="151">
        <v>-8.642364532019696E-2</v>
      </c>
      <c r="H117" s="152">
        <v>50.664911000008722</v>
      </c>
    </row>
    <row r="118" spans="2:9">
      <c r="B118" s="148">
        <v>1933</v>
      </c>
      <c r="C118" s="149">
        <v>1.8599999999999998E-2</v>
      </c>
      <c r="D118" s="150">
        <v>118.6</v>
      </c>
      <c r="E118" s="144"/>
      <c r="F118" s="148">
        <v>1933</v>
      </c>
      <c r="G118" s="151">
        <v>0.49982225433526023</v>
      </c>
      <c r="H118" s="152">
        <v>75.988361031728402</v>
      </c>
    </row>
    <row r="119" spans="2:9">
      <c r="B119" s="148">
        <v>1934</v>
      </c>
      <c r="C119" s="149">
        <v>7.9600000000000004E-2</v>
      </c>
      <c r="D119" s="150">
        <v>128.05000000000001</v>
      </c>
      <c r="E119" s="144"/>
      <c r="F119" s="148">
        <v>1934</v>
      </c>
      <c r="G119" s="151">
        <v>-1.1885656970912803E-2</v>
      </c>
      <c r="H119" s="152">
        <v>75.085189438723404</v>
      </c>
    </row>
    <row r="120" spans="2:9">
      <c r="B120" s="148">
        <v>1935</v>
      </c>
      <c r="C120" s="149">
        <v>4.4699999999999997E-2</v>
      </c>
      <c r="D120" s="150">
        <v>133.78</v>
      </c>
      <c r="E120" s="144"/>
      <c r="F120" s="148">
        <v>1935</v>
      </c>
      <c r="G120" s="151">
        <v>0.46740421052631581</v>
      </c>
      <c r="H120" s="152">
        <v>110.18032313054879</v>
      </c>
    </row>
    <row r="121" spans="2:9">
      <c r="B121" s="148">
        <v>1936</v>
      </c>
      <c r="C121" s="149">
        <v>5.0200000000000002E-2</v>
      </c>
      <c r="D121" s="150">
        <v>140.49</v>
      </c>
      <c r="E121" s="144"/>
      <c r="F121" s="148">
        <v>1936</v>
      </c>
      <c r="G121" s="151">
        <v>0.31943410275502609</v>
      </c>
      <c r="H121" s="152">
        <v>145.37567579101449</v>
      </c>
    </row>
    <row r="122" spans="2:9">
      <c r="B122" s="148">
        <v>1937</v>
      </c>
      <c r="C122" s="149">
        <v>1.38E-2</v>
      </c>
      <c r="D122" s="150">
        <v>142.43</v>
      </c>
      <c r="E122" s="144"/>
      <c r="F122" s="148">
        <v>1937</v>
      </c>
      <c r="G122" s="151">
        <v>-0.35336728754365537</v>
      </c>
      <c r="H122" s="152">
        <v>94.004667561917856</v>
      </c>
    </row>
    <row r="123" spans="2:9">
      <c r="B123" s="148">
        <v>1938</v>
      </c>
      <c r="C123" s="149">
        <v>4.2099999999999999E-2</v>
      </c>
      <c r="D123" s="150">
        <v>148.43</v>
      </c>
      <c r="E123" s="144"/>
      <c r="F123" s="148">
        <v>1938</v>
      </c>
      <c r="G123" s="151">
        <v>0.29282654028436017</v>
      </c>
      <c r="H123" s="152">
        <v>121.53172913465568</v>
      </c>
    </row>
    <row r="124" spans="2:9">
      <c r="B124" s="148">
        <v>1939</v>
      </c>
      <c r="C124" s="149">
        <v>4.41E-2</v>
      </c>
      <c r="D124" s="150">
        <v>154.97999999999999</v>
      </c>
      <c r="E124" s="144"/>
      <c r="F124" s="148">
        <v>1939</v>
      </c>
      <c r="G124" s="151">
        <v>-1.0975646879756443E-2</v>
      </c>
      <c r="H124" s="152">
        <v>120.19783979098749</v>
      </c>
    </row>
    <row r="125" spans="2:9">
      <c r="B125" s="148">
        <v>1940</v>
      </c>
      <c r="C125" s="149">
        <v>5.3999999999999999E-2</v>
      </c>
      <c r="D125" s="150">
        <v>163.35</v>
      </c>
      <c r="E125" s="144"/>
      <c r="F125" s="148">
        <v>1940</v>
      </c>
      <c r="G125" s="151">
        <v>-0.10672873194221515</v>
      </c>
      <c r="H125" s="152">
        <v>107.36927676790187</v>
      </c>
    </row>
    <row r="126" spans="2:9">
      <c r="B126" s="148">
        <v>1941</v>
      </c>
      <c r="C126" s="149">
        <v>-2.0199999999999999E-2</v>
      </c>
      <c r="D126" s="150">
        <v>160.04</v>
      </c>
      <c r="E126" s="144"/>
      <c r="F126" s="148">
        <v>1941</v>
      </c>
      <c r="G126" s="151">
        <v>-0.12771455576559551</v>
      </c>
      <c r="H126" s="152">
        <v>93.656657282615996</v>
      </c>
    </row>
    <row r="127" spans="2:9">
      <c r="B127" s="148">
        <v>1942</v>
      </c>
      <c r="C127" s="149">
        <v>2.29E-2</v>
      </c>
      <c r="D127" s="150">
        <v>163.72</v>
      </c>
      <c r="E127" s="144"/>
      <c r="F127" s="148">
        <v>1942</v>
      </c>
      <c r="G127" s="151">
        <v>0.19173762945914843</v>
      </c>
      <c r="H127" s="152">
        <v>111.61416273305268</v>
      </c>
    </row>
    <row r="128" spans="2:9">
      <c r="B128" s="148">
        <v>1943</v>
      </c>
      <c r="C128" s="149">
        <v>2.4899999999999999E-2</v>
      </c>
      <c r="D128" s="150">
        <v>167.79</v>
      </c>
      <c r="E128" s="144"/>
      <c r="F128" s="148">
        <v>1943</v>
      </c>
      <c r="G128" s="151">
        <v>0.25061310133060394</v>
      </c>
      <c r="H128" s="152">
        <v>139.58613420800171</v>
      </c>
    </row>
    <row r="129" spans="2:8">
      <c r="B129" s="148">
        <v>1944</v>
      </c>
      <c r="C129" s="149">
        <v>2.58E-2</v>
      </c>
      <c r="D129" s="150">
        <v>172.12</v>
      </c>
      <c r="E129" s="144"/>
      <c r="F129" s="148">
        <v>1944</v>
      </c>
      <c r="G129" s="151">
        <v>0.19030676949443009</v>
      </c>
      <c r="H129" s="152">
        <v>166.15032047534245</v>
      </c>
    </row>
    <row r="130" spans="2:8">
      <c r="B130" s="148">
        <v>1945</v>
      </c>
      <c r="C130" s="149">
        <v>3.7999999999999999E-2</v>
      </c>
      <c r="D130" s="150">
        <v>178.67</v>
      </c>
      <c r="E130" s="144"/>
      <c r="F130" s="148">
        <v>1945</v>
      </c>
      <c r="G130" s="151">
        <v>0.35821084337349401</v>
      </c>
      <c r="H130" s="152">
        <v>225.66716689959119</v>
      </c>
    </row>
    <row r="131" spans="2:8">
      <c r="B131" s="148">
        <v>1946</v>
      </c>
      <c r="C131" s="149">
        <v>3.1300000000000001E-2</v>
      </c>
      <c r="D131" s="150">
        <v>184.26</v>
      </c>
      <c r="E131" s="144"/>
      <c r="F131" s="148">
        <v>1946</v>
      </c>
      <c r="G131" s="151">
        <v>-8.4291474654377807E-2</v>
      </c>
      <c r="H131" s="152">
        <v>206.64534862054904</v>
      </c>
    </row>
    <row r="132" spans="2:8">
      <c r="B132" s="148">
        <v>1947</v>
      </c>
      <c r="C132" s="149">
        <v>9.1999999999999998E-3</v>
      </c>
      <c r="D132" s="150">
        <v>185.95</v>
      </c>
      <c r="E132" s="144"/>
      <c r="F132" s="148">
        <v>1947</v>
      </c>
      <c r="G132" s="151">
        <v>5.1999999999999998E-2</v>
      </c>
      <c r="H132" s="152">
        <v>217.3909067488176</v>
      </c>
    </row>
    <row r="133" spans="2:8">
      <c r="B133" s="148">
        <v>1948</v>
      </c>
      <c r="C133" s="149">
        <v>1.95E-2</v>
      </c>
      <c r="D133" s="150">
        <v>189.58</v>
      </c>
      <c r="E133" s="144"/>
      <c r="F133" s="148">
        <v>1948</v>
      </c>
      <c r="G133" s="151">
        <v>5.7045751633986834E-2</v>
      </c>
      <c r="H133" s="152">
        <v>229.79213442269784</v>
      </c>
    </row>
    <row r="134" spans="2:8">
      <c r="B134" s="148">
        <v>1949</v>
      </c>
      <c r="C134" s="149">
        <v>4.6600000000000003E-2</v>
      </c>
      <c r="D134" s="150">
        <v>198.42</v>
      </c>
      <c r="E134" s="144"/>
      <c r="F134" s="148">
        <v>1949</v>
      </c>
      <c r="G134" s="151">
        <v>0.18303223684210526</v>
      </c>
      <c r="H134" s="152">
        <v>271.85150279480598</v>
      </c>
    </row>
    <row r="135" spans="2:8">
      <c r="B135" s="148">
        <v>1950</v>
      </c>
      <c r="C135" s="149">
        <v>4.3E-3</v>
      </c>
      <c r="D135" s="150">
        <v>199.27</v>
      </c>
      <c r="E135" s="144"/>
      <c r="F135" s="148">
        <v>1950</v>
      </c>
      <c r="G135" s="151">
        <v>0.30805539011316263</v>
      </c>
      <c r="H135" s="152">
        <v>355.59682354110947</v>
      </c>
    </row>
    <row r="136" spans="2:8">
      <c r="B136" s="148">
        <v>1951</v>
      </c>
      <c r="C136" s="149">
        <v>-3.0000000000000001E-3</v>
      </c>
      <c r="D136" s="150">
        <v>198.68</v>
      </c>
      <c r="E136" s="144"/>
      <c r="F136" s="148">
        <v>1951</v>
      </c>
      <c r="G136" s="151">
        <v>0.23678463044542339</v>
      </c>
      <c r="H136" s="152">
        <v>439.7966859908575</v>
      </c>
    </row>
    <row r="137" spans="2:8">
      <c r="B137" s="148">
        <v>1952</v>
      </c>
      <c r="C137" s="149">
        <v>2.2700000000000001E-2</v>
      </c>
      <c r="D137" s="150">
        <v>203.19</v>
      </c>
      <c r="E137" s="144"/>
      <c r="F137" s="148">
        <v>1952</v>
      </c>
      <c r="G137" s="151">
        <v>0.18150988641144306</v>
      </c>
      <c r="H137" s="152">
        <v>519.62413250918712</v>
      </c>
    </row>
    <row r="138" spans="2:8">
      <c r="B138" s="148">
        <v>1953</v>
      </c>
      <c r="C138" s="149">
        <v>4.1399999999999999E-2</v>
      </c>
      <c r="D138" s="150">
        <v>211.61</v>
      </c>
      <c r="E138" s="144"/>
      <c r="F138" s="148">
        <v>1953</v>
      </c>
      <c r="G138" s="151">
        <v>-1.2082047421904465E-2</v>
      </c>
      <c r="H138" s="152">
        <v>513.34600909864514</v>
      </c>
    </row>
    <row r="139" spans="2:8">
      <c r="B139" s="148">
        <v>1954</v>
      </c>
      <c r="C139" s="149">
        <v>3.2899999999999999E-2</v>
      </c>
      <c r="D139" s="150">
        <v>218.57</v>
      </c>
      <c r="E139" s="144"/>
      <c r="F139" s="148">
        <v>1954</v>
      </c>
      <c r="G139" s="151">
        <v>0.52563321241434902</v>
      </c>
      <c r="H139" s="152">
        <v>783.17772094125166</v>
      </c>
    </row>
    <row r="140" spans="2:8">
      <c r="B140" s="148">
        <v>1955</v>
      </c>
      <c r="C140" s="149">
        <v>-1.34E-2</v>
      </c>
      <c r="D140" s="150">
        <v>215.65</v>
      </c>
      <c r="E140" s="144"/>
      <c r="F140" s="148">
        <v>1955</v>
      </c>
      <c r="G140" s="151">
        <v>0.32597331851028349</v>
      </c>
      <c r="H140" s="152">
        <v>1038.4727616197922</v>
      </c>
    </row>
    <row r="141" spans="2:8">
      <c r="B141" s="148">
        <v>1956</v>
      </c>
      <c r="C141" s="149">
        <v>-2.2599999999999999E-2</v>
      </c>
      <c r="D141" s="150">
        <v>210.79</v>
      </c>
      <c r="E141" s="144"/>
      <c r="F141" s="148">
        <v>1956</v>
      </c>
      <c r="G141" s="151">
        <v>7.4395118733509347E-2</v>
      </c>
      <c r="H141" s="152">
        <v>1115.7300660220119</v>
      </c>
    </row>
    <row r="142" spans="2:8">
      <c r="B142" s="148">
        <v>1957</v>
      </c>
      <c r="C142" s="149">
        <v>6.8000000000000005E-2</v>
      </c>
      <c r="D142" s="150">
        <v>225.11</v>
      </c>
      <c r="E142" s="144"/>
      <c r="F142" s="148">
        <v>1957</v>
      </c>
      <c r="G142" s="151">
        <v>-0.1045736018855796</v>
      </c>
      <c r="H142" s="152">
        <v>999.05415428605454</v>
      </c>
    </row>
    <row r="143" spans="2:8">
      <c r="B143" s="148">
        <v>1958</v>
      </c>
      <c r="C143" s="149">
        <v>-2.1000000000000001E-2</v>
      </c>
      <c r="D143" s="150">
        <v>220.39</v>
      </c>
      <c r="E143" s="144"/>
      <c r="F143" s="148">
        <v>1958</v>
      </c>
      <c r="G143" s="151">
        <v>0.43719954988747184</v>
      </c>
      <c r="H143" s="152">
        <v>1435.8401808531264</v>
      </c>
    </row>
    <row r="144" spans="2:8">
      <c r="B144" s="148">
        <v>1959</v>
      </c>
      <c r="C144" s="149">
        <v>-2.6499999999999999E-2</v>
      </c>
      <c r="D144" s="150">
        <v>214.56</v>
      </c>
      <c r="E144" s="144"/>
      <c r="F144" s="148">
        <v>1959</v>
      </c>
      <c r="G144" s="151">
        <v>0.12056457163557326</v>
      </c>
      <c r="H144" s="152">
        <v>1608.9516371948275</v>
      </c>
    </row>
    <row r="145" spans="2:8">
      <c r="B145" s="148">
        <v>1960</v>
      </c>
      <c r="C145" s="149">
        <v>0.1164</v>
      </c>
      <c r="D145" s="150">
        <v>239.53</v>
      </c>
      <c r="E145" s="144"/>
      <c r="F145" s="148">
        <v>1960</v>
      </c>
      <c r="G145" s="151">
        <v>3.36535314743695E-3</v>
      </c>
      <c r="H145" s="152">
        <v>1614.366327651135</v>
      </c>
    </row>
    <row r="146" spans="2:8">
      <c r="B146" s="148">
        <v>1961</v>
      </c>
      <c r="C146" s="149">
        <v>2.06E-2</v>
      </c>
      <c r="D146" s="150">
        <v>244.46</v>
      </c>
      <c r="E146" s="144"/>
      <c r="F146" s="148">
        <v>1961</v>
      </c>
      <c r="G146" s="151">
        <v>0.26637712958182752</v>
      </c>
      <c r="H146" s="152">
        <v>2044.3965961044005</v>
      </c>
    </row>
    <row r="147" spans="2:8">
      <c r="B147" s="148">
        <v>1962</v>
      </c>
      <c r="C147" s="149">
        <v>5.6899999999999999E-2</v>
      </c>
      <c r="D147" s="150">
        <v>258.38</v>
      </c>
      <c r="E147" s="144"/>
      <c r="F147" s="148">
        <v>1962</v>
      </c>
      <c r="G147" s="151">
        <v>-8.8114605171208879E-2</v>
      </c>
      <c r="H147" s="152">
        <v>1864.2553972252979</v>
      </c>
    </row>
    <row r="148" spans="2:8">
      <c r="B148" s="148">
        <v>1963</v>
      </c>
      <c r="C148" s="149">
        <v>1.6799999999999999E-2</v>
      </c>
      <c r="D148" s="150">
        <v>262.74</v>
      </c>
      <c r="E148" s="144"/>
      <c r="F148" s="148">
        <v>1963</v>
      </c>
      <c r="G148" s="151">
        <v>0.22611927099841514</v>
      </c>
      <c r="H148" s="152">
        <v>2285.7994686007432</v>
      </c>
    </row>
    <row r="149" spans="2:8">
      <c r="B149" s="148">
        <v>1964</v>
      </c>
      <c r="C149" s="149">
        <v>3.73E-2</v>
      </c>
      <c r="D149" s="150">
        <v>272.52999999999997</v>
      </c>
      <c r="E149" s="144"/>
      <c r="F149" s="148">
        <v>1964</v>
      </c>
      <c r="G149" s="151">
        <v>0.16415455878432425</v>
      </c>
      <c r="H149" s="152">
        <v>2661.0238718383412</v>
      </c>
    </row>
    <row r="150" spans="2:8">
      <c r="B150" s="148">
        <v>1965</v>
      </c>
      <c r="C150" s="149">
        <v>7.1999999999999998E-3</v>
      </c>
      <c r="D150" s="150">
        <v>274.49</v>
      </c>
      <c r="E150" s="144"/>
      <c r="F150" s="148">
        <v>1965</v>
      </c>
      <c r="G150" s="151">
        <v>0.12399242477876114</v>
      </c>
      <c r="H150" s="152">
        <v>2990.9706741017444</v>
      </c>
    </row>
    <row r="151" spans="2:8">
      <c r="B151" s="148">
        <v>1966</v>
      </c>
      <c r="C151" s="149">
        <v>2.9100000000000001E-2</v>
      </c>
      <c r="D151" s="150">
        <v>282.47000000000003</v>
      </c>
      <c r="E151" s="144"/>
      <c r="F151" s="148">
        <v>1966</v>
      </c>
      <c r="G151" s="151">
        <v>-9.9709542356377898E-2</v>
      </c>
      <c r="H151" s="152">
        <v>2692.7423569857124</v>
      </c>
    </row>
    <row r="152" spans="2:8">
      <c r="B152" s="148">
        <v>1967</v>
      </c>
      <c r="C152" s="149">
        <v>-1.5800000000000002E-2</v>
      </c>
      <c r="D152" s="150">
        <v>278.01</v>
      </c>
      <c r="E152" s="144"/>
      <c r="F152" s="148">
        <v>1967</v>
      </c>
      <c r="G152" s="151">
        <v>0.23802966513133328</v>
      </c>
      <c r="H152" s="152">
        <v>3333.6949185039784</v>
      </c>
    </row>
    <row r="153" spans="2:8">
      <c r="B153" s="148">
        <v>1968</v>
      </c>
      <c r="C153" s="149">
        <v>3.27E-2</v>
      </c>
      <c r="D153" s="150">
        <v>287.11</v>
      </c>
      <c r="E153" s="144"/>
      <c r="F153" s="148">
        <v>1968</v>
      </c>
      <c r="G153" s="151">
        <v>0.10814862651601535</v>
      </c>
      <c r="H153" s="152">
        <v>3694.2294451636035</v>
      </c>
    </row>
    <row r="154" spans="2:8">
      <c r="B154" s="148">
        <v>1969</v>
      </c>
      <c r="C154" s="149">
        <v>-5.0099999999999999E-2</v>
      </c>
      <c r="D154" s="150">
        <v>272.70999999999998</v>
      </c>
      <c r="E154" s="144"/>
      <c r="F154" s="148">
        <v>1969</v>
      </c>
      <c r="G154" s="151">
        <v>-8.2413710764490639E-2</v>
      </c>
      <c r="H154" s="152">
        <v>3389.7742881722256</v>
      </c>
    </row>
    <row r="155" spans="2:8">
      <c r="B155" s="148">
        <v>1970</v>
      </c>
      <c r="C155" s="149">
        <v>0.16750000000000001</v>
      </c>
      <c r="D155" s="150">
        <v>318.41000000000003</v>
      </c>
      <c r="E155" s="144"/>
      <c r="F155" s="148">
        <v>1970</v>
      </c>
      <c r="G155" s="151">
        <v>3.5611449054964189E-2</v>
      </c>
      <c r="H155" s="152">
        <v>3510.4890625432981</v>
      </c>
    </row>
    <row r="156" spans="2:8">
      <c r="B156" s="148">
        <v>1971</v>
      </c>
      <c r="C156" s="149">
        <v>9.7900000000000001E-2</v>
      </c>
      <c r="D156" s="150">
        <v>349.57</v>
      </c>
      <c r="E156" s="144"/>
      <c r="F156" s="148">
        <v>1971</v>
      </c>
      <c r="G156" s="151">
        <v>0.14221150298426474</v>
      </c>
      <c r="H156" s="152">
        <v>4009.720988337403</v>
      </c>
    </row>
    <row r="157" spans="2:8">
      <c r="B157" s="148">
        <v>1972</v>
      </c>
      <c r="C157" s="149">
        <v>2.8199999999999999E-2</v>
      </c>
      <c r="D157" s="150">
        <v>359.42</v>
      </c>
      <c r="E157" s="144"/>
      <c r="F157" s="148">
        <v>1972</v>
      </c>
      <c r="G157" s="151">
        <v>0.18755362915074925</v>
      </c>
      <c r="H157" s="152">
        <v>4761.7587115820115</v>
      </c>
    </row>
    <row r="158" spans="2:8">
      <c r="B158" s="148">
        <v>1973</v>
      </c>
      <c r="C158" s="149">
        <v>3.6600000000000001E-2</v>
      </c>
      <c r="D158" s="150">
        <v>372.57</v>
      </c>
      <c r="E158" s="144"/>
      <c r="F158" s="148">
        <v>1973</v>
      </c>
      <c r="G158" s="151">
        <v>-0.14308047437526472</v>
      </c>
      <c r="H158" s="152">
        <v>4080.4440162683081</v>
      </c>
    </row>
    <row r="159" spans="2:8">
      <c r="B159" s="148">
        <v>1974</v>
      </c>
      <c r="C159" s="149">
        <v>1.9900000000000001E-2</v>
      </c>
      <c r="D159" s="150">
        <v>379.98</v>
      </c>
      <c r="E159" s="144"/>
      <c r="F159" s="148">
        <v>1974</v>
      </c>
      <c r="G159" s="151">
        <v>-0.25901785750896972</v>
      </c>
      <c r="H159" s="152">
        <v>3023.5361494891954</v>
      </c>
    </row>
    <row r="160" spans="2:8">
      <c r="B160" s="148">
        <v>1975</v>
      </c>
      <c r="C160" s="149">
        <v>3.61E-2</v>
      </c>
      <c r="D160" s="150">
        <v>393.68</v>
      </c>
      <c r="E160" s="144"/>
      <c r="F160" s="148">
        <v>1975</v>
      </c>
      <c r="G160" s="151">
        <v>0.36995137106184356</v>
      </c>
      <c r="H160" s="152">
        <v>4142.0974934477708</v>
      </c>
    </row>
    <row r="161" spans="2:8">
      <c r="B161" s="148">
        <v>1976</v>
      </c>
      <c r="C161" s="149">
        <v>0.1598</v>
      </c>
      <c r="D161" s="150">
        <v>456.61</v>
      </c>
      <c r="E161" s="144"/>
      <c r="F161" s="148">
        <v>1976</v>
      </c>
      <c r="G161" s="151">
        <v>0.23830999002106662</v>
      </c>
      <c r="H161" s="152">
        <v>5129.2007057775936</v>
      </c>
    </row>
    <row r="162" spans="2:8">
      <c r="B162" s="148">
        <v>1977</v>
      </c>
      <c r="C162" s="149">
        <v>1.29E-2</v>
      </c>
      <c r="D162" s="150">
        <v>462.5</v>
      </c>
      <c r="E162" s="144"/>
      <c r="F162" s="148">
        <v>1977</v>
      </c>
      <c r="G162" s="151">
        <v>-6.9797040759352322E-2</v>
      </c>
      <c r="H162" s="152">
        <v>4771.1976750535359</v>
      </c>
    </row>
    <row r="163" spans="2:8">
      <c r="B163" s="148">
        <v>1978</v>
      </c>
      <c r="C163" s="149">
        <v>-7.7999999999999996E-3</v>
      </c>
      <c r="D163" s="150">
        <v>458.9</v>
      </c>
      <c r="E163" s="144"/>
      <c r="F163" s="148">
        <v>1978</v>
      </c>
      <c r="G163" s="151">
        <v>6.50928391167193E-2</v>
      </c>
      <c r="H163" s="152">
        <v>5081.7684777098611</v>
      </c>
    </row>
    <row r="164" spans="2:8">
      <c r="B164" s="148">
        <v>1979</v>
      </c>
      <c r="C164" s="149">
        <v>6.7000000000000002E-3</v>
      </c>
      <c r="D164" s="150">
        <v>461.98</v>
      </c>
      <c r="E164" s="144"/>
      <c r="F164" s="148">
        <v>1979</v>
      </c>
      <c r="G164" s="151">
        <v>0.18519490167516386</v>
      </c>
      <c r="H164" s="152">
        <v>6022.8860912752862</v>
      </c>
    </row>
    <row r="165" spans="2:8">
      <c r="B165" s="148">
        <v>1980</v>
      </c>
      <c r="C165" s="149">
        <v>-2.9899999999999999E-2</v>
      </c>
      <c r="D165" s="150">
        <v>448.17</v>
      </c>
      <c r="E165" s="144"/>
      <c r="F165" s="148">
        <v>1980</v>
      </c>
      <c r="G165" s="151">
        <v>0.3173524550676301</v>
      </c>
      <c r="H165" s="152">
        <v>7934.2637789341807</v>
      </c>
    </row>
    <row r="166" spans="2:8">
      <c r="B166" s="148">
        <v>1981</v>
      </c>
      <c r="C166" s="149">
        <v>8.2000000000000003E-2</v>
      </c>
      <c r="D166" s="150">
        <v>484.91</v>
      </c>
      <c r="E166" s="144"/>
      <c r="F166" s="148">
        <v>1981</v>
      </c>
      <c r="G166" s="151">
        <v>-4.7023902474955762E-2</v>
      </c>
      <c r="H166" s="152">
        <v>7561.1637327830058</v>
      </c>
    </row>
    <row r="167" spans="2:8">
      <c r="B167" s="148">
        <v>1982</v>
      </c>
      <c r="C167" s="149">
        <v>0.3281</v>
      </c>
      <c r="D167" s="150">
        <v>644.04</v>
      </c>
      <c r="E167" s="144"/>
      <c r="F167" s="148">
        <v>1982</v>
      </c>
      <c r="G167" s="151">
        <v>0.20419055079559353</v>
      </c>
      <c r="H167" s="152">
        <v>9105.0819200356327</v>
      </c>
    </row>
    <row r="168" spans="2:8">
      <c r="B168" s="148">
        <v>1983</v>
      </c>
      <c r="C168" s="149">
        <v>3.2000000000000001E-2</v>
      </c>
      <c r="D168" s="150">
        <v>664.65</v>
      </c>
      <c r="E168" s="144"/>
      <c r="F168" s="148">
        <v>1983</v>
      </c>
      <c r="G168" s="151">
        <v>0.22337155858930619</v>
      </c>
      <c r="H168" s="152">
        <v>11138.898259597305</v>
      </c>
    </row>
    <row r="169" spans="2:8">
      <c r="B169" s="148">
        <v>1984</v>
      </c>
      <c r="C169" s="149">
        <v>0.13730000000000001</v>
      </c>
      <c r="D169" s="150">
        <v>755.92</v>
      </c>
      <c r="E169" s="144"/>
      <c r="F169" s="148">
        <v>1984</v>
      </c>
      <c r="G169" s="151">
        <v>6.14614199963621E-2</v>
      </c>
      <c r="H169" s="152">
        <v>11823.510763827162</v>
      </c>
    </row>
    <row r="170" spans="2:8">
      <c r="B170" s="148">
        <v>1985</v>
      </c>
      <c r="C170" s="149">
        <v>0.2571</v>
      </c>
      <c r="D170" s="150">
        <v>950.29</v>
      </c>
      <c r="E170" s="144"/>
      <c r="F170" s="148">
        <v>1985</v>
      </c>
      <c r="G170" s="151">
        <v>0.31235149485768948</v>
      </c>
      <c r="H170" s="152">
        <v>15516.602025374559</v>
      </c>
    </row>
    <row r="171" spans="2:8">
      <c r="B171" s="148">
        <v>1986</v>
      </c>
      <c r="C171" s="149">
        <v>0.24279999999999999</v>
      </c>
      <c r="D171" s="155">
        <v>1181.06</v>
      </c>
      <c r="E171" s="144"/>
      <c r="F171" s="148">
        <v>1986</v>
      </c>
      <c r="G171" s="151">
        <v>0.18494578758046187</v>
      </c>
      <c r="H171" s="152">
        <v>18386.332207530046</v>
      </c>
    </row>
    <row r="172" spans="2:8">
      <c r="B172" s="148">
        <v>1987</v>
      </c>
      <c r="C172" s="149">
        <v>-4.9599999999999998E-2</v>
      </c>
      <c r="D172" s="155">
        <v>1122.47</v>
      </c>
      <c r="E172" s="144"/>
      <c r="F172" s="148">
        <v>1987</v>
      </c>
      <c r="G172" s="151">
        <v>5.8127216418218712E-2</v>
      </c>
      <c r="H172" s="152">
        <v>19455.07851889441</v>
      </c>
    </row>
    <row r="173" spans="2:8">
      <c r="B173" s="148">
        <v>1988</v>
      </c>
      <c r="C173" s="149">
        <v>8.2199999999999995E-2</v>
      </c>
      <c r="D173" s="155">
        <v>1214.78</v>
      </c>
      <c r="E173" s="144"/>
      <c r="F173" s="148">
        <v>1988</v>
      </c>
      <c r="G173" s="151">
        <v>0.16537192812044688</v>
      </c>
      <c r="H173" s="152">
        <v>22672.402365298665</v>
      </c>
    </row>
    <row r="174" spans="2:8">
      <c r="B174" s="148">
        <v>1989</v>
      </c>
      <c r="C174" s="149">
        <v>0.1769</v>
      </c>
      <c r="D174" s="155">
        <v>1429.72</v>
      </c>
      <c r="E174" s="144"/>
      <c r="F174" s="148">
        <v>1989</v>
      </c>
      <c r="G174" s="151">
        <v>0.31475183638196724</v>
      </c>
      <c r="H174" s="152">
        <v>29808.582644967279</v>
      </c>
    </row>
    <row r="175" spans="2:8">
      <c r="B175" s="148">
        <v>1990</v>
      </c>
      <c r="C175" s="149">
        <v>6.2399999999999997E-2</v>
      </c>
      <c r="D175" s="155">
        <v>1518.87</v>
      </c>
      <c r="E175" s="144"/>
      <c r="F175" s="148">
        <v>1990</v>
      </c>
      <c r="G175" s="151">
        <v>-3.0644516129032118E-2</v>
      </c>
      <c r="H175" s="152">
        <v>28895.113053319994</v>
      </c>
    </row>
    <row r="176" spans="2:8">
      <c r="B176" s="148">
        <v>1991</v>
      </c>
      <c r="C176" s="149">
        <v>0.15</v>
      </c>
      <c r="D176" s="155">
        <v>1746.77</v>
      </c>
      <c r="E176" s="144"/>
      <c r="F176" s="148">
        <v>1991</v>
      </c>
      <c r="G176" s="151">
        <v>0.30234843134879757</v>
      </c>
      <c r="H176" s="152">
        <v>37631.505158637461</v>
      </c>
    </row>
    <row r="177" spans="2:8">
      <c r="B177" s="148">
        <v>1992</v>
      </c>
      <c r="C177" s="149">
        <v>9.3600000000000003E-2</v>
      </c>
      <c r="D177" s="155">
        <v>1910.3</v>
      </c>
      <c r="E177" s="144"/>
      <c r="F177" s="148">
        <v>1992</v>
      </c>
      <c r="G177" s="151">
        <v>7.493727972380064E-2</v>
      </c>
      <c r="H177" s="152">
        <v>40451.507787137925</v>
      </c>
    </row>
    <row r="178" spans="2:8">
      <c r="B178" s="148">
        <v>1993</v>
      </c>
      <c r="C178" s="149">
        <v>0.1421</v>
      </c>
      <c r="D178" s="155">
        <v>2181.77</v>
      </c>
      <c r="E178" s="144"/>
      <c r="F178" s="148">
        <v>1993</v>
      </c>
      <c r="G178" s="151">
        <v>9.96705147919488E-2</v>
      </c>
      <c r="H178" s="152">
        <v>44483.33039239249</v>
      </c>
    </row>
    <row r="179" spans="2:8">
      <c r="B179" s="148">
        <v>1994</v>
      </c>
      <c r="C179" s="149">
        <v>-8.0399999999999999E-2</v>
      </c>
      <c r="D179" s="155">
        <v>2006.43</v>
      </c>
      <c r="E179" s="144"/>
      <c r="F179" s="148">
        <v>1994</v>
      </c>
      <c r="G179" s="151">
        <v>1.3259206774573897E-2</v>
      </c>
      <c r="H179" s="152">
        <v>45073.144068086905</v>
      </c>
    </row>
    <row r="180" spans="2:8">
      <c r="B180" s="148">
        <v>1995</v>
      </c>
      <c r="C180" s="149">
        <v>0.23480000000000001</v>
      </c>
      <c r="D180" s="155">
        <v>2477.5500000000002</v>
      </c>
      <c r="E180" s="144"/>
      <c r="F180" s="148">
        <v>1995</v>
      </c>
      <c r="G180" s="151">
        <v>0.37195198902606308</v>
      </c>
      <c r="H180" s="152">
        <v>61838.189655870119</v>
      </c>
    </row>
    <row r="181" spans="2:8">
      <c r="B181" s="148">
        <v>1996</v>
      </c>
      <c r="C181" s="149">
        <v>1.43E-2</v>
      </c>
      <c r="D181" s="155">
        <v>2512.94</v>
      </c>
      <c r="E181" s="144"/>
      <c r="F181" s="148">
        <v>1996</v>
      </c>
      <c r="G181" s="151">
        <v>0.22680966018865789</v>
      </c>
      <c r="H181" s="152">
        <v>75863.688438399797</v>
      </c>
    </row>
    <row r="182" spans="2:8">
      <c r="B182" s="148">
        <v>1997</v>
      </c>
      <c r="C182" s="149">
        <v>9.9400000000000002E-2</v>
      </c>
      <c r="D182" s="155">
        <v>2762.71</v>
      </c>
      <c r="E182" s="144"/>
      <c r="F182" s="148">
        <v>1997</v>
      </c>
      <c r="G182" s="151">
        <v>0.33103653103653097</v>
      </c>
      <c r="H182" s="152">
        <v>100977.34069068384</v>
      </c>
    </row>
    <row r="183" spans="2:8">
      <c r="B183" s="148">
        <v>1998</v>
      </c>
      <c r="C183" s="149">
        <v>0.1492</v>
      </c>
      <c r="D183" s="155">
        <v>3174.95</v>
      </c>
      <c r="E183" s="144"/>
      <c r="F183" s="148">
        <v>1998</v>
      </c>
      <c r="G183" s="151">
        <v>0.28337953278443584</v>
      </c>
      <c r="H183" s="152">
        <v>129592.25231742462</v>
      </c>
    </row>
    <row r="184" spans="2:8">
      <c r="B184" s="148">
        <v>1999</v>
      </c>
      <c r="C184" s="149">
        <v>-8.2500000000000004E-2</v>
      </c>
      <c r="D184" s="155">
        <v>2912.88</v>
      </c>
      <c r="E184" s="144"/>
      <c r="F184" s="148">
        <v>1999</v>
      </c>
      <c r="G184" s="151">
        <v>0.20885350992084475</v>
      </c>
      <c r="H184" s="152">
        <v>156658.0490724665</v>
      </c>
    </row>
    <row r="185" spans="2:8">
      <c r="B185" s="148">
        <v>2000</v>
      </c>
      <c r="C185" s="149">
        <v>0.1666</v>
      </c>
      <c r="D185" s="155">
        <v>3398.03</v>
      </c>
      <c r="E185" s="144"/>
      <c r="F185" s="148">
        <v>2000</v>
      </c>
      <c r="G185" s="151">
        <v>-9.0318189552492781E-2</v>
      </c>
      <c r="H185" s="152">
        <v>142508.97770141574</v>
      </c>
    </row>
    <row r="186" spans="2:8">
      <c r="B186" s="148">
        <v>2001</v>
      </c>
      <c r="C186" s="149">
        <v>5.57E-2</v>
      </c>
      <c r="D186" s="155">
        <v>3587.37</v>
      </c>
      <c r="E186" s="144"/>
      <c r="F186" s="148">
        <v>2001</v>
      </c>
      <c r="G186" s="151">
        <v>-0.11849759142000185</v>
      </c>
      <c r="H186" s="152">
        <v>125622.00708807123</v>
      </c>
    </row>
    <row r="187" spans="2:8">
      <c r="B187" s="148">
        <v>2002</v>
      </c>
      <c r="C187" s="149">
        <v>0.1512</v>
      </c>
      <c r="D187" s="155">
        <v>4129.6499999999996</v>
      </c>
      <c r="E187" s="144"/>
      <c r="F187" s="148">
        <v>2002</v>
      </c>
      <c r="G187" s="151">
        <v>-0.21966047957912699</v>
      </c>
      <c r="H187" s="152">
        <v>98027.816765413008</v>
      </c>
    </row>
    <row r="188" spans="2:8">
      <c r="B188" s="148">
        <v>2003</v>
      </c>
      <c r="C188" s="149">
        <v>3.8E-3</v>
      </c>
      <c r="D188" s="155">
        <v>4145.1499999999996</v>
      </c>
      <c r="E188" s="144"/>
      <c r="F188" s="148">
        <v>2003</v>
      </c>
      <c r="G188" s="151">
        <v>0.28355800050010233</v>
      </c>
      <c r="H188" s="152">
        <v>125824.38848080393</v>
      </c>
    </row>
    <row r="189" spans="2:8">
      <c r="B189" s="148">
        <v>2004</v>
      </c>
      <c r="C189" s="149">
        <v>4.4900000000000002E-2</v>
      </c>
      <c r="D189" s="155">
        <v>4331.3</v>
      </c>
      <c r="E189" s="144"/>
      <c r="F189" s="148">
        <v>2004</v>
      </c>
      <c r="G189" s="151">
        <v>0.10742775944096193</v>
      </c>
      <c r="H189" s="152">
        <v>139341.42061832585</v>
      </c>
    </row>
    <row r="190" spans="2:8">
      <c r="B190" s="148">
        <v>2005</v>
      </c>
      <c r="C190" s="149">
        <v>2.87E-2</v>
      </c>
      <c r="D190" s="155">
        <v>4455.5</v>
      </c>
      <c r="E190" s="144"/>
      <c r="F190" s="148">
        <v>2005</v>
      </c>
      <c r="G190" s="151">
        <v>4.8344775232688535E-2</v>
      </c>
      <c r="H190" s="152">
        <v>146077.8502787223</v>
      </c>
    </row>
    <row r="191" spans="2:8">
      <c r="B191" s="148">
        <v>2006</v>
      </c>
      <c r="C191" s="149">
        <v>1.9599999999999999E-2</v>
      </c>
      <c r="D191" s="155">
        <v>4542.87</v>
      </c>
      <c r="E191" s="144"/>
      <c r="F191" s="148">
        <v>2006</v>
      </c>
      <c r="G191" s="151">
        <v>0.15612557979315703</v>
      </c>
      <c r="H191" s="152">
        <v>168884.33934842583</v>
      </c>
    </row>
    <row r="192" spans="2:8">
      <c r="B192" s="148">
        <v>2007</v>
      </c>
      <c r="C192" s="149">
        <v>0.1021</v>
      </c>
      <c r="D192" s="155">
        <v>5006.6899999999996</v>
      </c>
      <c r="E192" s="144"/>
      <c r="F192" s="148">
        <v>2007</v>
      </c>
      <c r="G192" s="151">
        <v>5.4847352464217694E-2</v>
      </c>
      <c r="H192" s="152">
        <v>178147.19823435548</v>
      </c>
    </row>
    <row r="193" spans="2:9">
      <c r="B193" s="148">
        <v>2008</v>
      </c>
      <c r="C193" s="156">
        <v>0.20101279926977011</v>
      </c>
      <c r="D193" s="155">
        <v>6013.1040377978934</v>
      </c>
      <c r="E193" s="144"/>
      <c r="F193" s="148">
        <v>2008</v>
      </c>
      <c r="G193" s="151">
        <v>-0.36552344111798191</v>
      </c>
      <c r="H193" s="152">
        <v>113030.22131020659</v>
      </c>
    </row>
    <row r="194" spans="2:9">
      <c r="B194" s="148">
        <v>2009</v>
      </c>
      <c r="C194" s="156">
        <v>-0.11116695313259162</v>
      </c>
      <c r="D194" s="155">
        <v>5344.6455830466175</v>
      </c>
      <c r="E194" s="144"/>
      <c r="F194" s="148">
        <v>2009</v>
      </c>
      <c r="G194" s="151">
        <v>0.25935233877663982</v>
      </c>
      <c r="H194" s="152">
        <v>142344.87355944986</v>
      </c>
    </row>
    <row r="195" spans="2:9">
      <c r="B195" s="148">
        <v>2010</v>
      </c>
      <c r="C195" s="156">
        <v>8.4629338803557719E-2</v>
      </c>
      <c r="D195" s="155">
        <v>5796.9594048792078</v>
      </c>
      <c r="E195" s="144"/>
      <c r="F195" s="148">
        <v>2010</v>
      </c>
      <c r="G195" s="151">
        <v>0.14821092278719414</v>
      </c>
      <c r="H195" s="152">
        <v>163441.93862372241</v>
      </c>
    </row>
    <row r="196" spans="2:9">
      <c r="B196" s="148">
        <v>2011</v>
      </c>
      <c r="C196" s="156">
        <v>0.16035334999461354</v>
      </c>
      <c r="D196" s="155">
        <v>6726.5212652343698</v>
      </c>
      <c r="E196" s="144"/>
      <c r="F196" s="148">
        <v>2011</v>
      </c>
      <c r="G196" s="151">
        <v>2.09837473362805E-2</v>
      </c>
      <c r="H196" s="152">
        <v>166871.56296795449</v>
      </c>
    </row>
    <row r="197" spans="2:9">
      <c r="B197" s="148">
        <v>2012</v>
      </c>
      <c r="C197" s="156">
        <v>2.971571978018946E-2</v>
      </c>
      <c r="D197" s="155">
        <v>6926.4046862475598</v>
      </c>
      <c r="E197" s="144"/>
      <c r="F197" s="148">
        <v>2012</v>
      </c>
      <c r="G197" s="151">
        <v>0.15890585241730293</v>
      </c>
      <c r="H197" s="152">
        <v>193388.43092558492</v>
      </c>
    </row>
    <row r="198" spans="2:9">
      <c r="B198" s="148">
        <v>2013</v>
      </c>
      <c r="C198" s="156">
        <v>-9.104568794347262E-2</v>
      </c>
      <c r="D198" s="155">
        <v>6295.7854066132577</v>
      </c>
      <c r="E198" s="144"/>
      <c r="F198" s="148">
        <v>2013</v>
      </c>
      <c r="G198" s="149">
        <v>0.32145085858125483</v>
      </c>
      <c r="H198" s="152">
        <v>255553.30808629587</v>
      </c>
    </row>
    <row r="199" spans="2:9">
      <c r="B199" s="148">
        <f>+B198+1</f>
        <v>2014</v>
      </c>
      <c r="C199" s="156">
        <v>0.1075</v>
      </c>
      <c r="D199" s="155">
        <v>6972.34</v>
      </c>
      <c r="E199" s="175"/>
      <c r="F199" s="148">
        <f>+F198+1</f>
        <v>2014</v>
      </c>
      <c r="G199" s="149">
        <v>0.13519999999999999</v>
      </c>
      <c r="H199" s="152">
        <v>290115.42</v>
      </c>
      <c r="I199" s="175"/>
    </row>
    <row r="200" spans="2:9">
      <c r="B200" s="148">
        <f>+B199+1</f>
        <v>2015</v>
      </c>
      <c r="C200" s="156">
        <v>1.2800000000000001E-2</v>
      </c>
      <c r="D200" s="155">
        <v>7061.89</v>
      </c>
      <c r="E200" s="175"/>
      <c r="F200" s="148">
        <f>+F199+1</f>
        <v>2015</v>
      </c>
      <c r="G200" s="149">
        <v>1.38E-2</v>
      </c>
      <c r="H200" s="152">
        <v>294115.78999999998</v>
      </c>
      <c r="I200" s="175"/>
    </row>
    <row r="201" spans="2:9">
      <c r="B201" s="148">
        <f>+B200+1</f>
        <v>2016</v>
      </c>
      <c r="C201" s="156">
        <v>6.8999999999999999E-3</v>
      </c>
      <c r="D201" s="155">
        <v>7110.65</v>
      </c>
      <c r="E201" s="175"/>
      <c r="F201" s="148">
        <f>+F200+1</f>
        <v>2016</v>
      </c>
      <c r="G201" s="149">
        <v>0.1177</v>
      </c>
      <c r="H201" s="152">
        <v>328742.28000000003</v>
      </c>
      <c r="I201" s="175"/>
    </row>
    <row r="202" spans="2:9">
      <c r="B202" s="148">
        <f>+B201+1</f>
        <v>2017</v>
      </c>
      <c r="C202" s="156">
        <v>2.8000000000000001E-2</v>
      </c>
      <c r="D202" s="155">
        <v>7309.87</v>
      </c>
      <c r="E202" s="175"/>
      <c r="F202" s="148">
        <f>+F201+1</f>
        <v>2017</v>
      </c>
      <c r="G202" s="149">
        <v>0.21640000000000001</v>
      </c>
      <c r="H202" s="152">
        <v>399885.98</v>
      </c>
      <c r="I202" s="175"/>
    </row>
    <row r="203" spans="2:9">
      <c r="B203" s="157">
        <f>+B202+1</f>
        <v>2018</v>
      </c>
      <c r="C203" s="158">
        <v>2.8000000000000001E-2</v>
      </c>
      <c r="D203" s="159">
        <f>+D202*(1+C203)</f>
        <v>7514.5463600000003</v>
      </c>
      <c r="E203" s="175"/>
      <c r="F203" s="157">
        <f>+F202+1</f>
        <v>2018</v>
      </c>
      <c r="G203" s="158">
        <v>0.21640000000000001</v>
      </c>
      <c r="H203" s="160">
        <f>+H202*(1+G203)</f>
        <v>486421.30607199995</v>
      </c>
    </row>
  </sheetData>
  <mergeCells count="5">
    <mergeCell ref="B24:B29"/>
    <mergeCell ref="B35:B40"/>
    <mergeCell ref="B45:B50"/>
    <mergeCell ref="B55:B60"/>
    <mergeCell ref="B65:B70"/>
  </mergeCells>
  <pageMargins left="0.7" right="0.7" top="0.75" bottom="0.75" header="0.3" footer="0.3"/>
  <pageSetup paperSize="9" orientation="portrait" r:id="rId1"/>
  <ignoredErrors>
    <ignoredError sqref="D30 D79:G80 I83:I84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26"/>
  <sheetViews>
    <sheetView showGridLines="0" workbookViewId="0">
      <selection activeCell="D22" sqref="D22:F24"/>
    </sheetView>
  </sheetViews>
  <sheetFormatPr baseColWidth="10" defaultRowHeight="15"/>
  <cols>
    <col min="1" max="1" width="11.42578125" style="1"/>
    <col min="2" max="2" width="49.7109375" style="1" bestFit="1" customWidth="1"/>
    <col min="3" max="3" width="13.140625" style="1" customWidth="1"/>
    <col min="4" max="6" width="11.85546875" style="1" customWidth="1"/>
    <col min="7" max="16384" width="11.42578125" style="1"/>
  </cols>
  <sheetData>
    <row r="1" spans="2:6">
      <c r="B1" s="2" t="s">
        <v>74</v>
      </c>
    </row>
    <row r="3" spans="2:6">
      <c r="B3" s="2" t="s">
        <v>49</v>
      </c>
    </row>
    <row r="5" spans="2:6">
      <c r="B5" s="29" t="s">
        <v>50</v>
      </c>
      <c r="C5" s="29">
        <v>2015</v>
      </c>
      <c r="D5" s="29">
        <f>+C5+1</f>
        <v>2016</v>
      </c>
      <c r="E5" s="29">
        <f>+D5+1</f>
        <v>2017</v>
      </c>
      <c r="F5" s="29">
        <f>+E5+1</f>
        <v>2018</v>
      </c>
    </row>
    <row r="6" spans="2:6">
      <c r="B6" s="30" t="s">
        <v>51</v>
      </c>
      <c r="C6" s="172"/>
      <c r="D6" s="31">
        <f>+('Mano de obra'!E23+Materiales!E25+Inversiones!E146)/('Mano de obra'!E24+Materiales!E26+Inversiones!E147)</f>
        <v>0.94714820860754101</v>
      </c>
      <c r="E6" s="31">
        <f>+('Mano de obra'!F23+Materiales!F25+Inversiones!F146)/('Mano de obra'!F24+Materiales!F26+Inversiones!F147)</f>
        <v>0.97024402249597841</v>
      </c>
      <c r="F6" s="31">
        <f>+('Mano de obra'!G23+Materiales!G25+Inversiones!G146)/('Mano de obra'!G24+Materiales!G26+Inversiones!G147)</f>
        <v>1.0169056239709116</v>
      </c>
    </row>
    <row r="7" spans="2:6">
      <c r="B7" s="30" t="s">
        <v>52</v>
      </c>
      <c r="C7" s="172"/>
      <c r="D7" s="31">
        <f>+('Mano de obra'!E25+Materiales!E27+Inversiones!E148)/('Mano de obra'!E26+Materiales!E28+Inversiones!E149)</f>
        <v>0.94760627293446542</v>
      </c>
      <c r="E7" s="31">
        <f>+('Mano de obra'!F25+Materiales!F27+Inversiones!F148)/('Mano de obra'!F26+Materiales!F28+Inversiones!F149)</f>
        <v>0.96986735197245799</v>
      </c>
      <c r="F7" s="31">
        <f>+('Mano de obra'!G25+Materiales!G27+Inversiones!G148)/('Mano de obra'!G26+Materiales!G28+Inversiones!G149)</f>
        <v>1.0160691608892634</v>
      </c>
    </row>
    <row r="8" spans="2:6">
      <c r="B8" s="30" t="s">
        <v>53</v>
      </c>
      <c r="C8" s="173"/>
      <c r="D8" s="31">
        <f>(D6*D7)^0.5</f>
        <v>0.94737721308629097</v>
      </c>
      <c r="E8" s="31">
        <f>(E6*E7)^0.5</f>
        <v>0.97005566895167439</v>
      </c>
      <c r="F8" s="31">
        <f>(F6*F7)^0.5</f>
        <v>1.0164873063898521</v>
      </c>
    </row>
    <row r="9" spans="2:6">
      <c r="B9" s="33" t="s">
        <v>54</v>
      </c>
      <c r="C9" s="174"/>
      <c r="D9" s="34">
        <f>LN(D8)</f>
        <v>-5.4057940833365355E-2</v>
      </c>
      <c r="E9" s="34">
        <f>LN(E8)</f>
        <v>-3.0401818459660879E-2</v>
      </c>
      <c r="F9" s="34">
        <f>LN(F8)</f>
        <v>1.6352866442973835E-2</v>
      </c>
    </row>
    <row r="10" spans="2:6">
      <c r="E10" s="35" t="s">
        <v>55</v>
      </c>
      <c r="F10" s="36">
        <f>+AVERAGE(D9:F9)</f>
        <v>-2.2702297616684134E-2</v>
      </c>
    </row>
    <row r="11" spans="2:6">
      <c r="B11" s="2" t="s">
        <v>56</v>
      </c>
    </row>
    <row r="13" spans="2:6">
      <c r="B13" s="37" t="s">
        <v>57</v>
      </c>
      <c r="C13" s="29">
        <f>+C5</f>
        <v>2015</v>
      </c>
      <c r="D13" s="29">
        <f>+D5</f>
        <v>2016</v>
      </c>
      <c r="E13" s="29">
        <f>+E5</f>
        <v>2017</v>
      </c>
      <c r="F13" s="29">
        <f>+F5</f>
        <v>2018</v>
      </c>
    </row>
    <row r="14" spans="2:6">
      <c r="B14" s="30" t="s">
        <v>58</v>
      </c>
      <c r="C14" s="172"/>
      <c r="D14" s="31">
        <f>Producción!E34</f>
        <v>0.96735629290896852</v>
      </c>
      <c r="E14" s="31">
        <f>Producción!F34</f>
        <v>0.94249197509534055</v>
      </c>
      <c r="F14" s="31">
        <f>Producción!G34</f>
        <v>0.98481312470757598</v>
      </c>
    </row>
    <row r="15" spans="2:6">
      <c r="B15" s="30" t="s">
        <v>59</v>
      </c>
      <c r="C15" s="172"/>
      <c r="D15" s="31">
        <f>+D8</f>
        <v>0.94737721308629097</v>
      </c>
      <c r="E15" s="31">
        <f>+E8</f>
        <v>0.97005566895167439</v>
      </c>
      <c r="F15" s="31">
        <f>+F8</f>
        <v>1.0164873063898521</v>
      </c>
    </row>
    <row r="16" spans="2:6">
      <c r="B16" s="30" t="s">
        <v>60</v>
      </c>
      <c r="C16" s="172"/>
      <c r="D16" s="31">
        <f>D14/D15</f>
        <v>1.021088832987223</v>
      </c>
      <c r="E16" s="31">
        <f>E14/E15</f>
        <v>0.97158545149669451</v>
      </c>
      <c r="F16" s="31">
        <f>F14/F15</f>
        <v>0.96883956987641107</v>
      </c>
    </row>
    <row r="17" spans="2:6">
      <c r="B17" s="33" t="s">
        <v>61</v>
      </c>
      <c r="C17" s="174"/>
      <c r="D17" s="34">
        <f>LN(D16)</f>
        <v>2.0869541261815189E-2</v>
      </c>
      <c r="E17" s="34">
        <f>LN(E16)</f>
        <v>-2.8826055724261102E-2</v>
      </c>
      <c r="F17" s="34">
        <f>LN(F16)</f>
        <v>-3.1656243361408168E-2</v>
      </c>
    </row>
    <row r="18" spans="2:6">
      <c r="E18" s="35" t="s">
        <v>55</v>
      </c>
      <c r="F18" s="36">
        <f>+AVERAGE(D17:F17)</f>
        <v>-1.3204252607951361E-2</v>
      </c>
    </row>
    <row r="19" spans="2:6">
      <c r="B19" s="2" t="s">
        <v>62</v>
      </c>
    </row>
    <row r="21" spans="2:6">
      <c r="B21" s="29" t="s">
        <v>63</v>
      </c>
      <c r="C21" s="29">
        <f>+C13</f>
        <v>2015</v>
      </c>
      <c r="D21" s="29">
        <f>+D13</f>
        <v>2016</v>
      </c>
      <c r="E21" s="29">
        <f>+E13</f>
        <v>2017</v>
      </c>
      <c r="F21" s="29">
        <f>+F13</f>
        <v>2018</v>
      </c>
    </row>
    <row r="22" spans="2:6">
      <c r="B22" s="30" t="s">
        <v>64</v>
      </c>
      <c r="C22" s="172"/>
      <c r="D22" s="31">
        <f>+('Mano de obra'!E33+Materiales!E34+Inversiones!E156)/('Mano de obra'!E34+Materiales!E35+Inversiones!E157)</f>
        <v>0.99263595657624404</v>
      </c>
      <c r="E22" s="31">
        <f>+('Mano de obra'!F33+Materiales!F34+Inversiones!F156)/('Mano de obra'!F34+Materiales!F35+Inversiones!F157)</f>
        <v>1.0593357638674417</v>
      </c>
      <c r="F22" s="31">
        <f>+('Mano de obra'!G33+Materiales!G34+Inversiones!G156)/('Mano de obra'!G34+Materiales!G35+Inversiones!G157)</f>
        <v>0.99602797385470698</v>
      </c>
    </row>
    <row r="23" spans="2:6">
      <c r="B23" s="30" t="s">
        <v>65</v>
      </c>
      <c r="C23" s="172"/>
      <c r="D23" s="31">
        <f>+('Mano de obra'!E35+Materiales!E36+Inversiones!E158)/('Mano de obra'!E36+Materiales!E37+Inversiones!E159)</f>
        <v>0.99311601990445175</v>
      </c>
      <c r="E23" s="31">
        <f>+('Mano de obra'!F35+Materiales!F36+Inversiones!F158)/('Mano de obra'!F36+Materiales!F37+Inversiones!F159)</f>
        <v>1.0589245059287085</v>
      </c>
      <c r="F23" s="31">
        <f>+('Mano de obra'!G35+Materiales!G36+Inversiones!G158)/('Mano de obra'!G36+Materiales!G37+Inversiones!G159)</f>
        <v>0.99520868383528005</v>
      </c>
    </row>
    <row r="24" spans="2:6">
      <c r="B24" s="30" t="s">
        <v>66</v>
      </c>
      <c r="C24" s="173"/>
      <c r="D24" s="32">
        <f>(D22*D23)^0.5</f>
        <v>0.99287595922604943</v>
      </c>
      <c r="E24" s="32">
        <f>(E22*E23)^0.5</f>
        <v>1.059130114936754</v>
      </c>
      <c r="F24" s="32">
        <f>(F22*F23)^0.5</f>
        <v>0.99561824457121295</v>
      </c>
    </row>
    <row r="25" spans="2:6">
      <c r="B25" s="38" t="s">
        <v>67</v>
      </c>
      <c r="C25" s="174"/>
      <c r="D25" s="34">
        <f>LN(D24)</f>
        <v>-7.1495379197274141E-3</v>
      </c>
      <c r="E25" s="34">
        <f>LN(E24)</f>
        <v>5.7447924923393533E-2</v>
      </c>
      <c r="F25" s="34">
        <f>LN(F24)</f>
        <v>-4.3913834545023771E-3</v>
      </c>
    </row>
    <row r="26" spans="2:6">
      <c r="E26" s="35" t="s">
        <v>55</v>
      </c>
      <c r="F26" s="36">
        <f>+AVERAGE(D25:F25)</f>
        <v>1.5302334516387912E-2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E8:K9"/>
  <sheetViews>
    <sheetView workbookViewId="0">
      <selection activeCell="K9" sqref="K9"/>
    </sheetView>
  </sheetViews>
  <sheetFormatPr baseColWidth="10" defaultRowHeight="15"/>
  <sheetData>
    <row r="8" spans="5:11">
      <c r="F8" s="176">
        <v>2014</v>
      </c>
      <c r="G8" s="176">
        <v>2015</v>
      </c>
      <c r="H8" s="176">
        <v>2016</v>
      </c>
      <c r="I8" s="176">
        <v>2017</v>
      </c>
      <c r="K8" s="176" t="s">
        <v>177</v>
      </c>
    </row>
    <row r="9" spans="5:11">
      <c r="E9" s="26" t="s">
        <v>178</v>
      </c>
      <c r="F9" s="177">
        <v>-2.3602461435242139E-2</v>
      </c>
      <c r="G9" s="177">
        <v>-8.9596218079439627E-3</v>
      </c>
      <c r="H9" s="177">
        <v>-5.0912509565608222E-3</v>
      </c>
      <c r="I9" s="177">
        <v>-1.2812337212992575E-2</v>
      </c>
      <c r="K9" s="177">
        <f>AVERAGE(F9:I9)</f>
        <v>-1.2616417853184875E-2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Factor X</vt:lpstr>
      <vt:lpstr>Datos Macro</vt:lpstr>
      <vt:lpstr>Producción</vt:lpstr>
      <vt:lpstr>Mano de obra</vt:lpstr>
      <vt:lpstr>Materiales</vt:lpstr>
      <vt:lpstr>Inversiones</vt:lpstr>
      <vt:lpstr>WACC - cálculo</vt:lpstr>
      <vt:lpstr>Agregados</vt:lpstr>
      <vt:lpstr>PTF_Economía</vt:lpstr>
      <vt:lpstr>'Factor X'!_ftn1</vt:lpstr>
      <vt:lpstr>'Factor X'!_ftn2</vt:lpstr>
      <vt:lpstr>'Factor X'!_ftn3</vt:lpstr>
      <vt:lpstr>'Factor X'!_ftnref3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2019-03-19T19:13:40Z</dcterms:modified>
</cp:coreProperties>
</file>